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tables/table2.xml" ContentType="application/vnd.openxmlformats-officedocument.spreadsheetml.table+xml"/>
  <Override PartName="/xl/drawings/drawing4.xml" ContentType="application/vnd.openxmlformats-officedocument.drawing+xml"/>
  <Override PartName="/xl/tables/table3.xml" ContentType="application/vnd.openxmlformats-officedocument.spreadsheetml.table+xml"/>
  <Override PartName="/xl/drawings/drawing5.xml" ContentType="application/vnd.openxmlformats-officedocument.drawing+xml"/>
  <Override PartName="/xl/tables/table4.xml" ContentType="application/vnd.openxmlformats-officedocument.spreadsheetml.table+xml"/>
  <Override PartName="/xl/drawings/drawing6.xml" ContentType="application/vnd.openxmlformats-officedocument.drawing+xml"/>
  <Override PartName="/xl/tables/table5.xml" ContentType="application/vnd.openxmlformats-officedocument.spreadsheetml.table+xml"/>
  <Override PartName="/xl/drawings/drawing7.xml" ContentType="application/vnd.openxmlformats-officedocument.drawing+xml"/>
  <Override PartName="/xl/tables/table6.xml" ContentType="application/vnd.openxmlformats-officedocument.spreadsheetml.table+xml"/>
  <Override PartName="/xl/drawings/drawing8.xml" ContentType="application/vnd.openxmlformats-officedocument.drawing+xml"/>
  <Override PartName="/xl/tables/table7.xml" ContentType="application/vnd.openxmlformats-officedocument.spreadsheetml.table+xml"/>
  <Override PartName="/xl/drawings/drawing9.xml" ContentType="application/vnd.openxmlformats-officedocument.drawing+xml"/>
  <Override PartName="/xl/tables/table8.xml" ContentType="application/vnd.openxmlformats-officedocument.spreadsheetml.table+xml"/>
  <Override PartName="/xl/drawings/drawing10.xml" ContentType="application/vnd.openxmlformats-officedocument.drawing+xml"/>
  <Override PartName="/xl/tables/table9.xml" ContentType="application/vnd.openxmlformats-officedocument.spreadsheetml.table+xml"/>
  <Override PartName="/xl/drawings/drawing11.xml" ContentType="application/vnd.openxmlformats-officedocument.drawing+xml"/>
  <Override PartName="/xl/tables/table10.xml" ContentType="application/vnd.openxmlformats-officedocument.spreadsheetml.table+xml"/>
  <Override PartName="/xl/drawings/drawing12.xml" ContentType="application/vnd.openxmlformats-officedocument.drawing+xml"/>
  <Override PartName="/xl/tables/table11.xml" ContentType="application/vnd.openxmlformats-officedocument.spreadsheetml.table+xml"/>
  <Override PartName="/xl/drawings/drawing13.xml" ContentType="application/vnd.openxmlformats-officedocument.drawing+xml"/>
  <Override PartName="/xl/tables/table12.xml" ContentType="application/vnd.openxmlformats-officedocument.spreadsheetml.table+xml"/>
  <Override PartName="/xl/drawings/drawing14.xml" ContentType="application/vnd.openxmlformats-officedocument.drawing+xml"/>
  <Override PartName="/xl/tables/table1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ALSTA\Marketing\Free Content\"/>
    </mc:Choice>
  </mc:AlternateContent>
  <bookViews>
    <workbookView xWindow="0" yWindow="0" windowWidth="20490" windowHeight="9045" tabRatio="821"/>
  </bookViews>
  <sheets>
    <sheet name="Overview" sheetId="1" r:id="rId1"/>
    <sheet name="Summary" sheetId="2" r:id="rId2"/>
    <sheet name="1. Safety" sheetId="3" r:id="rId3"/>
    <sheet name="2. Maintenance Strategy" sheetId="13" r:id="rId4"/>
    <sheet name="3. PM Strategy" sheetId="5" r:id="rId5"/>
    <sheet name="4. Shutdown Strategy" sheetId="7" r:id="rId6"/>
    <sheet name="5. Breakdown Strategy" sheetId="8" r:id="rId7"/>
    <sheet name="6. Sustainability" sheetId="14" r:id="rId8"/>
    <sheet name="7. WO Strategy" sheetId="6" r:id="rId9"/>
    <sheet name="8. Inventory Strategy" sheetId="9" r:id="rId10"/>
    <sheet name="9. Tyre Strategy" sheetId="17" r:id="rId11"/>
    <sheet name="10. Workshop Condition" sheetId="16" r:id="rId12"/>
    <sheet name="11. Plant Condition Dig Unit" sheetId="19" r:id="rId13"/>
    <sheet name="12. Plant Condition Haul Unit" sheetId="20" r:id="rId14"/>
  </sheets>
  <definedNames>
    <definedName name="A">#REF!=MEDIAN(#REF!,#REF!,#REF!+#REF!-1)</definedName>
    <definedName name="aC">(A*(#REF!&gt;0))*PeriodInPlan</definedName>
    <definedName name="Actual" localSheetId="12">('11. Plant Condition Dig Unit'!PeriodInActual*(#REF!&gt;0))*'11. Plant Condition Dig Unit'!PeriodInPlan</definedName>
    <definedName name="Actual" localSheetId="13">('12. Plant Condition Haul Unit'!PeriodInActual*(#REF!&gt;0))*'12. Plant Condition Haul Unit'!PeriodInPlan</definedName>
    <definedName name="Actual">(PeriodInActual*(#REF!&gt;0))*PeriodInPlan</definedName>
    <definedName name="ActualBeyond" localSheetId="12">'11. Plant Condition Dig Unit'!PeriodInActual*(#REF!&gt;0)</definedName>
    <definedName name="ActualBeyond" localSheetId="13">'12. Plant Condition Haul Unit'!PeriodInActual*(#REF!&gt;0)</definedName>
    <definedName name="ActualBeyond">PeriodInActual*(#REF!&gt;0)</definedName>
    <definedName name="PercentComplete" localSheetId="12">'11. Plant Condition Dig Unit'!PercentCompleteBeyond*'11. Plant Condition Dig Unit'!PeriodInPlan</definedName>
    <definedName name="PercentComplete" localSheetId="13">'12. Plant Condition Haul Unit'!PercentCompleteBeyond*'12. Plant Condition Haul Unit'!PeriodInPlan</definedName>
    <definedName name="PercentComplete">PercentCompleteBeyond*PeriodInPlan</definedName>
    <definedName name="PercentCompleteBeyond" localSheetId="12">(#REF!=MEDIAN(#REF!,#REF!,#REF!+#REF!)*(#REF!&gt;0))*((#REF!&lt;(INT(#REF!+#REF!*#REF!)))+(#REF!=#REF!))*(#REF!&gt;0)</definedName>
    <definedName name="PercentCompleteBeyond" localSheetId="13">(#REF!=MEDIAN(#REF!,#REF!,#REF!+#REF!)*(#REF!&gt;0))*((#REF!&lt;(INT(#REF!+#REF!*#REF!)))+(#REF!=#REF!))*(#REF!&gt;0)</definedName>
    <definedName name="PercentCompleteBeyond">(#REF!=MEDIAN(#REF!,#REF!,#REF!+#REF!)*(#REF!&gt;0))*((#REF!&lt;(INT(#REF!+#REF!*#REF!)))+(#REF!=#REF!))*(#REF!&gt;0)</definedName>
    <definedName name="period_selected" localSheetId="12">#REF!</definedName>
    <definedName name="period_selected" localSheetId="13">#REF!</definedName>
    <definedName name="period_selected">#REF!</definedName>
    <definedName name="PeriodInActual" localSheetId="12">#REF!=MEDIAN(#REF!,#REF!,#REF!+#REF!-1)</definedName>
    <definedName name="PeriodInActual" localSheetId="13">#REF!=MEDIAN(#REF!,#REF!,#REF!+#REF!-1)</definedName>
    <definedName name="PeriodInActual">#REF!=MEDIAN(#REF!,#REF!,#REF!+#REF!-1)</definedName>
    <definedName name="PeriodInPlan" localSheetId="12">#REF!=MEDIAN(#REF!,#REF!,#REF!+#REF!-1)</definedName>
    <definedName name="PeriodInPlan" localSheetId="13">#REF!=MEDIAN(#REF!,#REF!,#REF!+#REF!-1)</definedName>
    <definedName name="PeriodInPlan">#REF!=MEDIAN(#REF!,#REF!,#REF!+#REF!-1)</definedName>
    <definedName name="Plan" localSheetId="12">'11. Plant Condition Dig Unit'!PeriodInPlan*(#REF!&gt;0)</definedName>
    <definedName name="Plan" localSheetId="13">'12. Plant Condition Haul Unit'!PeriodInPlan*(#REF!&gt;0)</definedName>
    <definedName name="Plan">PeriodInPlan*(#REF!&gt;0)</definedName>
    <definedName name="_xlnm.Print_Area" localSheetId="4">'3. PM Strategy'!$A$1:$I$24</definedName>
    <definedName name="Q">PercentCompleteBeyond*PeriodInPlan</definedName>
    <definedName name="Result">Overview!$D$52:$D$54</definedName>
  </definedNames>
  <calcPr calcId="171027"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9" i="2" l="1"/>
  <c r="G19" i="2"/>
  <c r="F6" i="20"/>
  <c r="F7" i="20"/>
  <c r="F8" i="20"/>
  <c r="F9" i="20"/>
  <c r="F10" i="20"/>
  <c r="F11" i="20"/>
  <c r="F12" i="20"/>
  <c r="F13" i="20"/>
  <c r="F14" i="20"/>
  <c r="F15" i="20"/>
  <c r="F16" i="20"/>
  <c r="F17" i="20"/>
  <c r="F18" i="20"/>
  <c r="F19" i="20"/>
  <c r="F20" i="20"/>
  <c r="F21" i="20"/>
  <c r="F22" i="20"/>
  <c r="F23" i="20"/>
  <c r="F24" i="20"/>
  <c r="F25" i="20"/>
  <c r="F26" i="20"/>
  <c r="F27" i="20"/>
  <c r="F28" i="20"/>
  <c r="F29" i="20"/>
  <c r="F30" i="20"/>
  <c r="F31" i="20"/>
  <c r="F32" i="20"/>
  <c r="F33" i="20"/>
  <c r="F34" i="20"/>
  <c r="F35" i="20"/>
  <c r="F36" i="20"/>
  <c r="F37" i="20"/>
  <c r="F38" i="20"/>
  <c r="F39" i="20"/>
  <c r="F40" i="20"/>
  <c r="F41" i="20"/>
  <c r="F42" i="20"/>
  <c r="F43" i="20"/>
  <c r="F44" i="20"/>
  <c r="F45" i="20"/>
  <c r="F46" i="20"/>
  <c r="F47" i="20"/>
  <c r="F48" i="20"/>
  <c r="F49" i="20"/>
  <c r="F50" i="20"/>
  <c r="F51" i="20"/>
  <c r="F52" i="20"/>
  <c r="F53" i="20"/>
  <c r="F54" i="20"/>
  <c r="F55" i="20"/>
  <c r="F56" i="20"/>
  <c r="F57" i="20"/>
  <c r="F58" i="20"/>
  <c r="F59" i="20"/>
  <c r="F60" i="20"/>
  <c r="F61" i="20"/>
  <c r="F62" i="20"/>
  <c r="F63" i="20"/>
  <c r="F64" i="20"/>
  <c r="F65" i="20"/>
  <c r="F66" i="20"/>
  <c r="F67" i="20"/>
  <c r="F68" i="20"/>
  <c r="F69" i="20"/>
  <c r="F70" i="20"/>
  <c r="F71" i="20"/>
  <c r="F72" i="20"/>
  <c r="F73" i="20"/>
  <c r="F74" i="20"/>
  <c r="F75" i="20"/>
  <c r="F76" i="20"/>
  <c r="F77" i="20"/>
  <c r="F78" i="20"/>
  <c r="F79" i="20"/>
  <c r="F80" i="20"/>
  <c r="F81" i="20"/>
  <c r="F82" i="20"/>
  <c r="F83" i="20"/>
  <c r="F84" i="20"/>
  <c r="F85" i="20"/>
  <c r="F86" i="20"/>
  <c r="F87" i="20"/>
  <c r="F88" i="20"/>
  <c r="F89" i="20"/>
  <c r="F90" i="20"/>
  <c r="F91" i="20"/>
  <c r="F92" i="20"/>
  <c r="F93" i="20"/>
  <c r="F94" i="20"/>
  <c r="F95" i="20"/>
  <c r="F96" i="20"/>
  <c r="F97" i="20"/>
  <c r="F98" i="20"/>
  <c r="F99" i="20"/>
  <c r="F100" i="20"/>
  <c r="F101" i="20"/>
  <c r="G6" i="20"/>
  <c r="G7" i="20"/>
  <c r="G8" i="20"/>
  <c r="G9" i="20"/>
  <c r="G10" i="20"/>
  <c r="G11" i="20"/>
  <c r="G12" i="20"/>
  <c r="G13" i="20"/>
  <c r="G14" i="20"/>
  <c r="G15" i="20"/>
  <c r="G16" i="20"/>
  <c r="G17" i="20"/>
  <c r="G18" i="20"/>
  <c r="G19" i="20"/>
  <c r="G20" i="20"/>
  <c r="G21" i="20"/>
  <c r="G22" i="20"/>
  <c r="G23" i="20"/>
  <c r="G24" i="20"/>
  <c r="G25" i="20"/>
  <c r="G26" i="20"/>
  <c r="G27" i="20"/>
  <c r="G28" i="20"/>
  <c r="G29" i="20"/>
  <c r="G30" i="20"/>
  <c r="G31" i="20"/>
  <c r="G32" i="20"/>
  <c r="G33" i="20"/>
  <c r="G34" i="20"/>
  <c r="G35" i="20"/>
  <c r="G36" i="20"/>
  <c r="G37" i="20"/>
  <c r="G38" i="20"/>
  <c r="G39" i="20"/>
  <c r="G40" i="20"/>
  <c r="G41" i="20"/>
  <c r="G42" i="20"/>
  <c r="G43" i="20"/>
  <c r="G44" i="20"/>
  <c r="G45" i="20"/>
  <c r="G46" i="20"/>
  <c r="G47" i="20"/>
  <c r="G48" i="20"/>
  <c r="G49" i="20"/>
  <c r="G50" i="20"/>
  <c r="G51" i="20"/>
  <c r="G52" i="20"/>
  <c r="G53" i="20"/>
  <c r="G54" i="20"/>
  <c r="G55" i="20"/>
  <c r="G56" i="20"/>
  <c r="G57" i="20"/>
  <c r="G58" i="20"/>
  <c r="G59" i="20"/>
  <c r="G60" i="20"/>
  <c r="G61" i="20"/>
  <c r="G62" i="20"/>
  <c r="G63" i="20"/>
  <c r="G64" i="20"/>
  <c r="G65" i="20"/>
  <c r="G66" i="20"/>
  <c r="G67" i="20"/>
  <c r="G68" i="20"/>
  <c r="G69" i="20"/>
  <c r="G70" i="20"/>
  <c r="G71" i="20"/>
  <c r="G72" i="20"/>
  <c r="G73" i="20"/>
  <c r="G74" i="20"/>
  <c r="G75" i="20"/>
  <c r="G76" i="20"/>
  <c r="G77" i="20"/>
  <c r="G78" i="20"/>
  <c r="G79" i="20"/>
  <c r="G80" i="20"/>
  <c r="G81" i="20"/>
  <c r="G82" i="20"/>
  <c r="G83" i="20"/>
  <c r="G84" i="20"/>
  <c r="G85" i="20"/>
  <c r="G86" i="20"/>
  <c r="G87" i="20"/>
  <c r="G88" i="20"/>
  <c r="G89" i="20"/>
  <c r="G90" i="20"/>
  <c r="G91" i="20"/>
  <c r="G92" i="20"/>
  <c r="G93" i="20"/>
  <c r="G94" i="20"/>
  <c r="G95" i="20"/>
  <c r="G96" i="20"/>
  <c r="G97" i="20"/>
  <c r="G98" i="20"/>
  <c r="G99" i="20"/>
  <c r="G100" i="20"/>
  <c r="G101" i="20"/>
  <c r="H6" i="20"/>
  <c r="H7" i="20"/>
  <c r="H8" i="20"/>
  <c r="H9" i="20"/>
  <c r="H10" i="20"/>
  <c r="H11" i="20"/>
  <c r="H12" i="20"/>
  <c r="H13" i="20"/>
  <c r="H14" i="20"/>
  <c r="H15" i="20"/>
  <c r="H16" i="20"/>
  <c r="H17" i="20"/>
  <c r="H18" i="20"/>
  <c r="H19" i="20"/>
  <c r="H20" i="20"/>
  <c r="H21" i="20"/>
  <c r="H22" i="20"/>
  <c r="H23" i="20"/>
  <c r="H24" i="20"/>
  <c r="H25" i="20"/>
  <c r="H26" i="20"/>
  <c r="H27" i="20"/>
  <c r="H28" i="20"/>
  <c r="H29" i="20"/>
  <c r="H30" i="20"/>
  <c r="H31" i="20"/>
  <c r="H32" i="20"/>
  <c r="H33" i="20"/>
  <c r="H34" i="20"/>
  <c r="H35" i="20"/>
  <c r="H36" i="20"/>
  <c r="H37" i="20"/>
  <c r="H38" i="20"/>
  <c r="H39" i="20"/>
  <c r="H40" i="20"/>
  <c r="H41" i="20"/>
  <c r="H42" i="20"/>
  <c r="H43" i="20"/>
  <c r="H44" i="20"/>
  <c r="H45" i="20"/>
  <c r="H46" i="20"/>
  <c r="H47" i="20"/>
  <c r="H48" i="20"/>
  <c r="H49" i="20"/>
  <c r="H50" i="20"/>
  <c r="H51" i="20"/>
  <c r="H52" i="20"/>
  <c r="H53" i="20"/>
  <c r="H54" i="20"/>
  <c r="H55" i="20"/>
  <c r="H56" i="20"/>
  <c r="H57" i="20"/>
  <c r="H58" i="20"/>
  <c r="H59" i="20"/>
  <c r="H60" i="20"/>
  <c r="H61" i="20"/>
  <c r="H62" i="20"/>
  <c r="H63" i="20"/>
  <c r="H64" i="20"/>
  <c r="H65" i="20"/>
  <c r="H66" i="20"/>
  <c r="H67" i="20"/>
  <c r="H68" i="20"/>
  <c r="H69" i="20"/>
  <c r="H70" i="20"/>
  <c r="H71" i="20"/>
  <c r="H72" i="20"/>
  <c r="H73" i="20"/>
  <c r="H74" i="20"/>
  <c r="H75" i="20"/>
  <c r="H76" i="20"/>
  <c r="H77" i="20"/>
  <c r="H78" i="20"/>
  <c r="H79" i="20"/>
  <c r="H80" i="20"/>
  <c r="H81" i="20"/>
  <c r="H82" i="20"/>
  <c r="H83" i="20"/>
  <c r="H84" i="20"/>
  <c r="H85" i="20"/>
  <c r="H86" i="20"/>
  <c r="H87" i="20"/>
  <c r="H88" i="20"/>
  <c r="H89" i="20"/>
  <c r="H90" i="20"/>
  <c r="H91" i="20"/>
  <c r="H92" i="20"/>
  <c r="H93" i="20"/>
  <c r="H94" i="20"/>
  <c r="H95" i="20"/>
  <c r="H96" i="20"/>
  <c r="H97" i="20"/>
  <c r="H98" i="20"/>
  <c r="H99" i="20"/>
  <c r="H100" i="20"/>
  <c r="H101" i="20"/>
  <c r="F102" i="20"/>
  <c r="F103" i="20"/>
  <c r="F104" i="20"/>
  <c r="F105" i="20"/>
  <c r="F106" i="20"/>
  <c r="F107" i="20"/>
  <c r="F108" i="20"/>
  <c r="F109" i="20"/>
  <c r="F110" i="20"/>
  <c r="F111" i="20"/>
  <c r="F112" i="20"/>
  <c r="F113" i="20"/>
  <c r="G102" i="20"/>
  <c r="G103" i="20"/>
  <c r="G104" i="20"/>
  <c r="G105" i="20"/>
  <c r="G106" i="20"/>
  <c r="G107" i="20"/>
  <c r="G108" i="20"/>
  <c r="G109" i="20"/>
  <c r="G110" i="20"/>
  <c r="G111" i="20"/>
  <c r="G112" i="20"/>
  <c r="G113" i="20"/>
  <c r="H102" i="20"/>
  <c r="H103" i="20"/>
  <c r="H104" i="20"/>
  <c r="H105" i="20"/>
  <c r="H106" i="20"/>
  <c r="H107" i="20"/>
  <c r="H108" i="20"/>
  <c r="H109" i="20"/>
  <c r="H110" i="20"/>
  <c r="H111" i="20"/>
  <c r="H112" i="20"/>
  <c r="H113" i="20"/>
  <c r="F6" i="19"/>
  <c r="F7" i="19"/>
  <c r="F8" i="19"/>
  <c r="F9" i="19"/>
  <c r="F10" i="19"/>
  <c r="F11" i="19"/>
  <c r="F12" i="19"/>
  <c r="F13" i="19"/>
  <c r="F14" i="19"/>
  <c r="F15" i="19"/>
  <c r="F16" i="19"/>
  <c r="F17" i="19"/>
  <c r="F18" i="19"/>
  <c r="F19" i="19"/>
  <c r="F20" i="19"/>
  <c r="F21" i="19"/>
  <c r="F22" i="19"/>
  <c r="F23" i="19"/>
  <c r="F24" i="19"/>
  <c r="F25" i="19"/>
  <c r="F26" i="19"/>
  <c r="F27" i="19"/>
  <c r="F28" i="19"/>
  <c r="F29" i="19"/>
  <c r="F30" i="19"/>
  <c r="F31" i="19"/>
  <c r="F32" i="19"/>
  <c r="F33" i="19"/>
  <c r="F34" i="19"/>
  <c r="F35" i="19"/>
  <c r="F36" i="19"/>
  <c r="F37" i="19"/>
  <c r="F38" i="19"/>
  <c r="F39" i="19"/>
  <c r="F40" i="19"/>
  <c r="F41" i="19"/>
  <c r="F42" i="19"/>
  <c r="F43" i="19"/>
  <c r="F44" i="19"/>
  <c r="F45" i="19"/>
  <c r="F46" i="19"/>
  <c r="F47" i="19"/>
  <c r="F48" i="19"/>
  <c r="F49" i="19"/>
  <c r="F50" i="19"/>
  <c r="F51" i="19"/>
  <c r="F52" i="19"/>
  <c r="F53" i="19"/>
  <c r="F54" i="19"/>
  <c r="F55" i="19"/>
  <c r="F56" i="19"/>
  <c r="F57" i="19"/>
  <c r="F58" i="19"/>
  <c r="F59" i="19"/>
  <c r="F60" i="19"/>
  <c r="F61" i="19"/>
  <c r="F62" i="19"/>
  <c r="F63" i="19"/>
  <c r="F64" i="19"/>
  <c r="F65" i="19"/>
  <c r="F66" i="19"/>
  <c r="F67" i="19"/>
  <c r="G6" i="19"/>
  <c r="G7" i="19"/>
  <c r="G8" i="19"/>
  <c r="G9" i="19"/>
  <c r="G10" i="19"/>
  <c r="G11" i="19"/>
  <c r="G12" i="19"/>
  <c r="G13" i="19"/>
  <c r="G14" i="19"/>
  <c r="G15" i="19"/>
  <c r="G16" i="19"/>
  <c r="G17" i="19"/>
  <c r="G18" i="19"/>
  <c r="G19" i="19"/>
  <c r="G20" i="19"/>
  <c r="G21" i="19"/>
  <c r="G22" i="19"/>
  <c r="G23" i="19"/>
  <c r="G24" i="19"/>
  <c r="G25" i="19"/>
  <c r="G26" i="19"/>
  <c r="G27" i="19"/>
  <c r="G28" i="19"/>
  <c r="G29" i="19"/>
  <c r="G30" i="19"/>
  <c r="G31" i="19"/>
  <c r="G32" i="19"/>
  <c r="G33" i="19"/>
  <c r="G34" i="19"/>
  <c r="G35" i="19"/>
  <c r="G36" i="19"/>
  <c r="G37" i="19"/>
  <c r="G38" i="19"/>
  <c r="G39" i="19"/>
  <c r="G40" i="19"/>
  <c r="G41" i="19"/>
  <c r="G42" i="19"/>
  <c r="G43" i="19"/>
  <c r="G44" i="19"/>
  <c r="G45" i="19"/>
  <c r="G46" i="19"/>
  <c r="G47" i="19"/>
  <c r="G48" i="19"/>
  <c r="G49" i="19"/>
  <c r="G50" i="19"/>
  <c r="G51" i="19"/>
  <c r="G52" i="19"/>
  <c r="G53" i="19"/>
  <c r="G54" i="19"/>
  <c r="G55" i="19"/>
  <c r="G56" i="19"/>
  <c r="G57" i="19"/>
  <c r="G58" i="19"/>
  <c r="G59" i="19"/>
  <c r="G60" i="19"/>
  <c r="G61" i="19"/>
  <c r="G62" i="19"/>
  <c r="G63" i="19"/>
  <c r="G64" i="19"/>
  <c r="G65" i="19"/>
  <c r="G66" i="19"/>
  <c r="G67" i="19"/>
  <c r="H6" i="19"/>
  <c r="H7" i="19"/>
  <c r="H8" i="19"/>
  <c r="H9" i="19"/>
  <c r="H10" i="19"/>
  <c r="H11" i="19"/>
  <c r="H12" i="19"/>
  <c r="H13" i="19"/>
  <c r="H14" i="19"/>
  <c r="H15" i="19"/>
  <c r="H16" i="19"/>
  <c r="H17" i="19"/>
  <c r="H18" i="19"/>
  <c r="H19" i="19"/>
  <c r="H20" i="19"/>
  <c r="H21" i="19"/>
  <c r="H22" i="19"/>
  <c r="H23" i="19"/>
  <c r="H24" i="19"/>
  <c r="H25" i="19"/>
  <c r="H26" i="19"/>
  <c r="H27" i="19"/>
  <c r="H28" i="19"/>
  <c r="H29" i="19"/>
  <c r="H30" i="19"/>
  <c r="H31" i="19"/>
  <c r="H32" i="19"/>
  <c r="H33" i="19"/>
  <c r="H34" i="19"/>
  <c r="H35" i="19"/>
  <c r="H36" i="19"/>
  <c r="H37" i="19"/>
  <c r="H38" i="19"/>
  <c r="H39" i="19"/>
  <c r="H40" i="19"/>
  <c r="H41" i="19"/>
  <c r="H42" i="19"/>
  <c r="H43" i="19"/>
  <c r="H44" i="19"/>
  <c r="H45" i="19"/>
  <c r="H46" i="19"/>
  <c r="H47" i="19"/>
  <c r="H48" i="19"/>
  <c r="H49" i="19"/>
  <c r="H50" i="19"/>
  <c r="H51" i="19"/>
  <c r="H52" i="19"/>
  <c r="H53" i="19"/>
  <c r="H54" i="19"/>
  <c r="H55" i="19"/>
  <c r="H56" i="19"/>
  <c r="H57" i="19"/>
  <c r="H58" i="19"/>
  <c r="H59" i="19"/>
  <c r="H60" i="19"/>
  <c r="H61" i="19"/>
  <c r="H62" i="19"/>
  <c r="H63" i="19"/>
  <c r="H64" i="19"/>
  <c r="H65" i="19"/>
  <c r="H66" i="19"/>
  <c r="H67" i="19"/>
  <c r="F68" i="19"/>
  <c r="F69" i="19"/>
  <c r="F70" i="19"/>
  <c r="F71" i="19"/>
  <c r="F72" i="19"/>
  <c r="F73" i="19"/>
  <c r="F74" i="19"/>
  <c r="F75" i="19"/>
  <c r="F76" i="19"/>
  <c r="F77" i="19"/>
  <c r="F78" i="19"/>
  <c r="F79" i="19"/>
  <c r="F80" i="19"/>
  <c r="F81" i="19"/>
  <c r="F82" i="19"/>
  <c r="F83" i="19"/>
  <c r="F84" i="19"/>
  <c r="F85" i="19"/>
  <c r="F86" i="19"/>
  <c r="F87" i="19"/>
  <c r="F88" i="19"/>
  <c r="F89" i="19"/>
  <c r="F90" i="19"/>
  <c r="F91" i="19"/>
  <c r="F92" i="19"/>
  <c r="F93" i="19"/>
  <c r="F94" i="19"/>
  <c r="F95" i="19"/>
  <c r="F96" i="19"/>
  <c r="F97" i="19"/>
  <c r="F98" i="19"/>
  <c r="G68" i="19"/>
  <c r="G69" i="19"/>
  <c r="G70" i="19"/>
  <c r="G71" i="19"/>
  <c r="G72" i="19"/>
  <c r="G73" i="19"/>
  <c r="G74" i="19"/>
  <c r="G75" i="19"/>
  <c r="G76" i="19"/>
  <c r="G77" i="19"/>
  <c r="G78" i="19"/>
  <c r="G79" i="19"/>
  <c r="G80" i="19"/>
  <c r="G81" i="19"/>
  <c r="G82" i="19"/>
  <c r="G83" i="19"/>
  <c r="G84" i="19"/>
  <c r="G85" i="19"/>
  <c r="G86" i="19"/>
  <c r="G87" i="19"/>
  <c r="G88" i="19"/>
  <c r="G89" i="19"/>
  <c r="G90" i="19"/>
  <c r="G91" i="19"/>
  <c r="G92" i="19"/>
  <c r="G93" i="19"/>
  <c r="G94" i="19"/>
  <c r="G95" i="19"/>
  <c r="G96" i="19"/>
  <c r="G97" i="19"/>
  <c r="G98" i="19"/>
  <c r="H68" i="19"/>
  <c r="H69" i="19"/>
  <c r="H70" i="19"/>
  <c r="H71" i="19"/>
  <c r="H72" i="19"/>
  <c r="H73" i="19"/>
  <c r="H74" i="19"/>
  <c r="H75" i="19"/>
  <c r="H76" i="19"/>
  <c r="H77" i="19"/>
  <c r="H78" i="19"/>
  <c r="H79" i="19"/>
  <c r="H80" i="19"/>
  <c r="H81" i="19"/>
  <c r="H82" i="19"/>
  <c r="H83" i="19"/>
  <c r="H84" i="19"/>
  <c r="H85" i="19"/>
  <c r="H86" i="19"/>
  <c r="H87" i="19"/>
  <c r="H88" i="19"/>
  <c r="H89" i="19"/>
  <c r="H90" i="19"/>
  <c r="H91" i="19"/>
  <c r="H92" i="19"/>
  <c r="H93" i="19"/>
  <c r="H94" i="19"/>
  <c r="H95" i="19"/>
  <c r="H96" i="19"/>
  <c r="H97" i="19"/>
  <c r="H98" i="19"/>
  <c r="F99" i="19"/>
  <c r="F100" i="19"/>
  <c r="F101" i="19"/>
  <c r="F102" i="19"/>
  <c r="F103" i="19"/>
  <c r="G99" i="19"/>
  <c r="G100" i="19"/>
  <c r="G101" i="19"/>
  <c r="G102" i="19"/>
  <c r="G103" i="19"/>
  <c r="H99" i="19"/>
  <c r="H100" i="19"/>
  <c r="H101" i="19"/>
  <c r="H102" i="19"/>
  <c r="H103" i="19"/>
  <c r="F104" i="19"/>
  <c r="F105" i="19"/>
  <c r="F106" i="19"/>
  <c r="F107" i="19"/>
  <c r="G104" i="19"/>
  <c r="G105" i="19"/>
  <c r="G106" i="19"/>
  <c r="G107" i="19"/>
  <c r="H104" i="19"/>
  <c r="H105" i="19"/>
  <c r="H106" i="19"/>
  <c r="H107" i="19"/>
  <c r="F114" i="20"/>
  <c r="F115" i="20"/>
  <c r="F108" i="19"/>
  <c r="F109" i="19"/>
  <c r="H108" i="19"/>
  <c r="H109" i="19"/>
  <c r="G114" i="20"/>
  <c r="G115" i="20"/>
  <c r="H114" i="20"/>
  <c r="H115" i="20"/>
  <c r="G108" i="19"/>
  <c r="G109" i="19"/>
  <c r="H6" i="16"/>
  <c r="H7" i="16"/>
  <c r="H8" i="16"/>
  <c r="H9" i="16"/>
  <c r="H10" i="16"/>
  <c r="H11" i="16"/>
  <c r="H12" i="16"/>
  <c r="H13" i="16"/>
  <c r="H14" i="16"/>
  <c r="H15" i="16"/>
  <c r="H16" i="16"/>
  <c r="H17" i="16"/>
  <c r="H18" i="16"/>
  <c r="H19" i="16"/>
  <c r="H20" i="16"/>
  <c r="H21" i="16"/>
  <c r="G6" i="16"/>
  <c r="G7" i="16"/>
  <c r="G8" i="16"/>
  <c r="G9" i="16"/>
  <c r="G10" i="16"/>
  <c r="G11" i="16"/>
  <c r="G12" i="16"/>
  <c r="G13" i="16"/>
  <c r="G14" i="16"/>
  <c r="G15" i="16"/>
  <c r="G16" i="16"/>
  <c r="G17" i="16"/>
  <c r="G18" i="16"/>
  <c r="G19" i="16"/>
  <c r="G20" i="16"/>
  <c r="G21" i="16"/>
  <c r="F6" i="16"/>
  <c r="F7" i="16"/>
  <c r="F8" i="16"/>
  <c r="F9" i="16"/>
  <c r="F10" i="16"/>
  <c r="F11" i="16"/>
  <c r="F12" i="16"/>
  <c r="F13" i="16"/>
  <c r="F14" i="16"/>
  <c r="F15" i="16"/>
  <c r="F16" i="16"/>
  <c r="F17" i="16"/>
  <c r="F18" i="16"/>
  <c r="F19" i="16"/>
  <c r="F20" i="16"/>
  <c r="F21" i="16"/>
  <c r="H6" i="17"/>
  <c r="H7" i="17"/>
  <c r="H8" i="17"/>
  <c r="H9" i="17"/>
  <c r="H10" i="17"/>
  <c r="H11" i="17"/>
  <c r="H12" i="17"/>
  <c r="H13" i="17"/>
  <c r="H14" i="17"/>
  <c r="H15" i="17"/>
  <c r="H16" i="17"/>
  <c r="H17" i="17"/>
  <c r="H18" i="17"/>
  <c r="H19" i="17"/>
  <c r="H20" i="17"/>
  <c r="H21" i="17"/>
  <c r="H22" i="17"/>
  <c r="H23" i="17"/>
  <c r="H24" i="17"/>
  <c r="H25" i="17"/>
  <c r="H26" i="17"/>
  <c r="H27" i="17"/>
  <c r="H28" i="17"/>
  <c r="H29" i="17"/>
  <c r="H30" i="17"/>
  <c r="H31" i="17"/>
  <c r="H32" i="17"/>
  <c r="H33" i="17"/>
  <c r="H34" i="17"/>
  <c r="H35" i="17"/>
  <c r="H36" i="17"/>
  <c r="G6" i="17"/>
  <c r="G7" i="17"/>
  <c r="G8" i="17"/>
  <c r="G9" i="17"/>
  <c r="G10" i="17"/>
  <c r="G11" i="17"/>
  <c r="G12" i="17"/>
  <c r="G13" i="17"/>
  <c r="G14" i="17"/>
  <c r="G15" i="17"/>
  <c r="G16" i="17"/>
  <c r="G17" i="17"/>
  <c r="G18" i="17"/>
  <c r="G19" i="17"/>
  <c r="G20" i="17"/>
  <c r="G21" i="17"/>
  <c r="G22" i="17"/>
  <c r="G23" i="17"/>
  <c r="G24" i="17"/>
  <c r="G25" i="17"/>
  <c r="G26" i="17"/>
  <c r="G27" i="17"/>
  <c r="G28" i="17"/>
  <c r="G29" i="17"/>
  <c r="G30" i="17"/>
  <c r="G31" i="17"/>
  <c r="G32" i="17"/>
  <c r="G33" i="17"/>
  <c r="G34" i="17"/>
  <c r="G35" i="17"/>
  <c r="G36" i="17"/>
  <c r="F6" i="17"/>
  <c r="F7" i="17"/>
  <c r="F8" i="17"/>
  <c r="F9" i="17"/>
  <c r="F10" i="17"/>
  <c r="F11" i="17"/>
  <c r="F12" i="17"/>
  <c r="F13" i="17"/>
  <c r="F14" i="17"/>
  <c r="F15" i="17"/>
  <c r="F16" i="17"/>
  <c r="F17" i="17"/>
  <c r="F18" i="17"/>
  <c r="F19" i="17"/>
  <c r="F20" i="17"/>
  <c r="F21" i="17"/>
  <c r="F22" i="17"/>
  <c r="F23" i="17"/>
  <c r="F24" i="17"/>
  <c r="F25" i="17"/>
  <c r="F26" i="17"/>
  <c r="F27" i="17"/>
  <c r="F28" i="17"/>
  <c r="F29" i="17"/>
  <c r="F30" i="17"/>
  <c r="F31" i="17"/>
  <c r="F32" i="17"/>
  <c r="F33" i="17"/>
  <c r="F34" i="17"/>
  <c r="F35" i="17"/>
  <c r="F36" i="17"/>
  <c r="H6" i="9"/>
  <c r="H7" i="9"/>
  <c r="H8" i="9"/>
  <c r="H9" i="9"/>
  <c r="H10" i="9"/>
  <c r="H11" i="9"/>
  <c r="H12" i="9"/>
  <c r="H13" i="9"/>
  <c r="H14" i="9"/>
  <c r="H15" i="9"/>
  <c r="H16" i="9"/>
  <c r="H17" i="9"/>
  <c r="H18" i="9"/>
  <c r="G6" i="9"/>
  <c r="G7" i="9"/>
  <c r="G8" i="9"/>
  <c r="G9" i="9"/>
  <c r="G10" i="9"/>
  <c r="G11" i="9"/>
  <c r="G12" i="9"/>
  <c r="G13" i="9"/>
  <c r="G14" i="9"/>
  <c r="G15" i="9"/>
  <c r="G16" i="9"/>
  <c r="G17" i="9"/>
  <c r="G18" i="9"/>
  <c r="F6" i="9"/>
  <c r="F7" i="9"/>
  <c r="F8" i="9"/>
  <c r="F9" i="9"/>
  <c r="F10" i="9"/>
  <c r="F11" i="9"/>
  <c r="F12" i="9"/>
  <c r="F13" i="9"/>
  <c r="F14" i="9"/>
  <c r="F15" i="9"/>
  <c r="F16" i="9"/>
  <c r="F17" i="9"/>
  <c r="F18" i="9"/>
  <c r="H6" i="6"/>
  <c r="H7" i="6"/>
  <c r="H8" i="6"/>
  <c r="H9" i="6"/>
  <c r="H10" i="6"/>
  <c r="H11" i="6"/>
  <c r="H12" i="6"/>
  <c r="H13" i="6"/>
  <c r="H14" i="6"/>
  <c r="G6" i="6"/>
  <c r="G7" i="6"/>
  <c r="G8" i="6"/>
  <c r="G9" i="6"/>
  <c r="G10" i="6"/>
  <c r="G11" i="6"/>
  <c r="G12" i="6"/>
  <c r="G13" i="6"/>
  <c r="G14" i="6"/>
  <c r="F6" i="6"/>
  <c r="F7" i="6"/>
  <c r="F8" i="6"/>
  <c r="F9" i="6"/>
  <c r="F10" i="6"/>
  <c r="F11" i="6"/>
  <c r="F12" i="6"/>
  <c r="F13" i="6"/>
  <c r="F14" i="6"/>
  <c r="G10" i="14"/>
  <c r="H6" i="14"/>
  <c r="G6" i="14"/>
  <c r="H7" i="14"/>
  <c r="H8" i="14"/>
  <c r="H9" i="14"/>
  <c r="H10" i="14"/>
  <c r="H11" i="14"/>
  <c r="H12" i="14"/>
  <c r="H13" i="14"/>
  <c r="H14" i="14"/>
  <c r="H15" i="14"/>
  <c r="H16" i="14"/>
  <c r="H17" i="14"/>
  <c r="H18" i="14"/>
  <c r="H19" i="14"/>
  <c r="H20" i="14"/>
  <c r="H21" i="14"/>
  <c r="H22" i="14"/>
  <c r="H23" i="14"/>
  <c r="H24" i="14"/>
  <c r="H25" i="14"/>
  <c r="H26" i="14"/>
  <c r="H27" i="14"/>
  <c r="H28" i="14"/>
  <c r="H29" i="14"/>
  <c r="H30" i="14"/>
  <c r="H31" i="14"/>
  <c r="H32" i="14"/>
  <c r="H33" i="14"/>
  <c r="H34" i="14"/>
  <c r="H35" i="14"/>
  <c r="H36" i="14"/>
  <c r="H37" i="14"/>
  <c r="G7" i="14"/>
  <c r="G8" i="14"/>
  <c r="G9" i="14"/>
  <c r="G11" i="14"/>
  <c r="G12" i="14"/>
  <c r="G13" i="14"/>
  <c r="G14" i="14"/>
  <c r="G15" i="14"/>
  <c r="G16" i="14"/>
  <c r="G17" i="14"/>
  <c r="G18" i="14"/>
  <c r="G19" i="14"/>
  <c r="G20" i="14"/>
  <c r="G21" i="14"/>
  <c r="G22" i="14"/>
  <c r="G23" i="14"/>
  <c r="G24" i="14"/>
  <c r="G25" i="14"/>
  <c r="G26" i="14"/>
  <c r="G27" i="14"/>
  <c r="G28" i="14"/>
  <c r="G29" i="14"/>
  <c r="G30" i="14"/>
  <c r="G31" i="14"/>
  <c r="G32" i="14"/>
  <c r="G33" i="14"/>
  <c r="G34" i="14"/>
  <c r="G35" i="14"/>
  <c r="G36" i="14"/>
  <c r="G37" i="14"/>
  <c r="F6" i="14"/>
  <c r="F7" i="14"/>
  <c r="F8" i="14"/>
  <c r="F9" i="14"/>
  <c r="F10" i="14"/>
  <c r="F11" i="14"/>
  <c r="F12" i="14"/>
  <c r="F13" i="14"/>
  <c r="F14" i="14"/>
  <c r="F15" i="14"/>
  <c r="F16" i="14"/>
  <c r="F17" i="14"/>
  <c r="F18" i="14"/>
  <c r="F19" i="14"/>
  <c r="F20" i="14"/>
  <c r="F21" i="14"/>
  <c r="F22" i="14"/>
  <c r="F23" i="14"/>
  <c r="F24" i="14"/>
  <c r="F25" i="14"/>
  <c r="F26" i="14"/>
  <c r="F27" i="14"/>
  <c r="F28" i="14"/>
  <c r="F29" i="14"/>
  <c r="F30" i="14"/>
  <c r="F31" i="14"/>
  <c r="F32" i="14"/>
  <c r="F33" i="14"/>
  <c r="F34" i="14"/>
  <c r="F35" i="14"/>
  <c r="F36" i="14"/>
  <c r="F37" i="14"/>
  <c r="H6" i="8"/>
  <c r="H7" i="8"/>
  <c r="H8" i="8"/>
  <c r="H9" i="8"/>
  <c r="H10" i="8"/>
  <c r="H11" i="8"/>
  <c r="H12" i="8"/>
  <c r="H13" i="8"/>
  <c r="H14" i="8"/>
  <c r="H15" i="8"/>
  <c r="H16" i="8"/>
  <c r="G6" i="8"/>
  <c r="G7" i="8"/>
  <c r="G8" i="8"/>
  <c r="G9" i="8"/>
  <c r="G10" i="8"/>
  <c r="G11" i="8"/>
  <c r="G12" i="8"/>
  <c r="G13" i="8"/>
  <c r="G14" i="8"/>
  <c r="G15" i="8"/>
  <c r="G16" i="8"/>
  <c r="F6" i="8"/>
  <c r="F7" i="8"/>
  <c r="F8" i="8"/>
  <c r="F9" i="8"/>
  <c r="F10" i="8"/>
  <c r="F11" i="8"/>
  <c r="F12" i="8"/>
  <c r="F13" i="8"/>
  <c r="F14" i="8"/>
  <c r="F15" i="8"/>
  <c r="F16" i="8"/>
  <c r="H6" i="7"/>
  <c r="H7" i="7"/>
  <c r="H8" i="7"/>
  <c r="H9" i="7"/>
  <c r="H10" i="7"/>
  <c r="H11" i="7"/>
  <c r="H12" i="7"/>
  <c r="H13" i="7"/>
  <c r="H14" i="7"/>
  <c r="H15" i="7"/>
  <c r="H16" i="7"/>
  <c r="H17" i="7"/>
  <c r="H18" i="7"/>
  <c r="H19" i="7"/>
  <c r="H20" i="7"/>
  <c r="G6" i="7"/>
  <c r="G7" i="7"/>
  <c r="G8" i="7"/>
  <c r="G9" i="7"/>
  <c r="G10" i="7"/>
  <c r="G11" i="7"/>
  <c r="G12" i="7"/>
  <c r="G13" i="7"/>
  <c r="G14" i="7"/>
  <c r="G15" i="7"/>
  <c r="G16" i="7"/>
  <c r="G17" i="7"/>
  <c r="G18" i="7"/>
  <c r="G19" i="7"/>
  <c r="G20" i="7"/>
  <c r="F6" i="7"/>
  <c r="F7" i="7"/>
  <c r="F8" i="7"/>
  <c r="F9" i="7"/>
  <c r="F10" i="7"/>
  <c r="F11" i="7"/>
  <c r="F12" i="7"/>
  <c r="F13" i="7"/>
  <c r="F14" i="7"/>
  <c r="F15" i="7"/>
  <c r="F16" i="7"/>
  <c r="F17" i="7"/>
  <c r="F18" i="7"/>
  <c r="F19" i="7"/>
  <c r="F20" i="7"/>
  <c r="H6" i="5"/>
  <c r="H7" i="5"/>
  <c r="H8" i="5"/>
  <c r="H9" i="5"/>
  <c r="H10" i="5"/>
  <c r="H11" i="5"/>
  <c r="H12" i="5"/>
  <c r="H13" i="5"/>
  <c r="H14" i="5"/>
  <c r="H15" i="5"/>
  <c r="H16" i="5"/>
  <c r="H17" i="5"/>
  <c r="H18" i="5"/>
  <c r="H19" i="5"/>
  <c r="H20" i="5"/>
  <c r="H21" i="5"/>
  <c r="H22" i="5"/>
  <c r="H23" i="5"/>
  <c r="H24" i="5"/>
  <c r="G6" i="5"/>
  <c r="G7" i="5"/>
  <c r="G8" i="5"/>
  <c r="G9" i="5"/>
  <c r="G10" i="5"/>
  <c r="G11" i="5"/>
  <c r="G12" i="5"/>
  <c r="G13" i="5"/>
  <c r="G14" i="5"/>
  <c r="G15" i="5"/>
  <c r="G16" i="5"/>
  <c r="G17" i="5"/>
  <c r="G18" i="5"/>
  <c r="G19" i="5"/>
  <c r="G20" i="5"/>
  <c r="G21" i="5"/>
  <c r="G22" i="5"/>
  <c r="G23" i="5"/>
  <c r="G24" i="5"/>
  <c r="F6" i="5"/>
  <c r="F7" i="5"/>
  <c r="F8" i="5"/>
  <c r="F9" i="5"/>
  <c r="F10" i="5"/>
  <c r="F11" i="5"/>
  <c r="F12" i="5"/>
  <c r="F13" i="5"/>
  <c r="F14" i="5"/>
  <c r="F15" i="5"/>
  <c r="F16" i="5"/>
  <c r="F17" i="5"/>
  <c r="F18" i="5"/>
  <c r="F19" i="5"/>
  <c r="F20" i="5"/>
  <c r="F21" i="5"/>
  <c r="F22" i="5"/>
  <c r="F23" i="5"/>
  <c r="F24" i="5"/>
  <c r="H6" i="13"/>
  <c r="H7" i="13"/>
  <c r="H8" i="13"/>
  <c r="H9" i="13"/>
  <c r="H10" i="13"/>
  <c r="H11" i="13"/>
  <c r="H12" i="13"/>
  <c r="H13" i="13"/>
  <c r="H14" i="13"/>
  <c r="H15" i="13"/>
  <c r="H16" i="13"/>
  <c r="H17" i="13"/>
  <c r="H18" i="13"/>
  <c r="H19" i="13"/>
  <c r="H20" i="13"/>
  <c r="H21" i="13"/>
  <c r="H22" i="13"/>
  <c r="H23" i="13"/>
  <c r="H24" i="13"/>
  <c r="H25" i="13"/>
  <c r="H26" i="13"/>
  <c r="H27" i="13"/>
  <c r="H28" i="13"/>
  <c r="H29" i="13"/>
  <c r="H30" i="13"/>
  <c r="H31" i="13"/>
  <c r="H32" i="13"/>
  <c r="H33" i="13"/>
  <c r="H34" i="13"/>
  <c r="H35" i="13"/>
  <c r="H36" i="13"/>
  <c r="H37" i="13"/>
  <c r="H38" i="13"/>
  <c r="H39" i="13"/>
  <c r="H40" i="13"/>
  <c r="H41" i="13"/>
  <c r="H42" i="13"/>
  <c r="H43" i="13"/>
  <c r="H44" i="13"/>
  <c r="H45" i="13"/>
  <c r="H46" i="13"/>
  <c r="H47" i="13"/>
  <c r="H48" i="13"/>
  <c r="H49" i="13"/>
  <c r="H50" i="13"/>
  <c r="H51" i="13"/>
  <c r="H52" i="13"/>
  <c r="H53" i="13"/>
  <c r="H54" i="13"/>
  <c r="H55" i="13"/>
  <c r="H56" i="13"/>
  <c r="G6" i="13"/>
  <c r="G7" i="13"/>
  <c r="G8" i="13"/>
  <c r="G9" i="13"/>
  <c r="G10" i="13"/>
  <c r="G11" i="13"/>
  <c r="G12" i="13"/>
  <c r="G13" i="13"/>
  <c r="G14" i="13"/>
  <c r="G15" i="13"/>
  <c r="G16" i="13"/>
  <c r="G17" i="13"/>
  <c r="G18" i="13"/>
  <c r="G19" i="13"/>
  <c r="G20" i="13"/>
  <c r="G21" i="13"/>
  <c r="G22" i="13"/>
  <c r="G23" i="13"/>
  <c r="G24" i="13"/>
  <c r="G25" i="13"/>
  <c r="G26" i="13"/>
  <c r="G27" i="13"/>
  <c r="G28" i="13"/>
  <c r="G29" i="13"/>
  <c r="G30" i="13"/>
  <c r="G31" i="13"/>
  <c r="G32" i="13"/>
  <c r="G33" i="13"/>
  <c r="G34" i="13"/>
  <c r="G35" i="13"/>
  <c r="G36" i="13"/>
  <c r="G37" i="13"/>
  <c r="G38" i="13"/>
  <c r="G39" i="13"/>
  <c r="G40" i="13"/>
  <c r="G41" i="13"/>
  <c r="G42" i="13"/>
  <c r="G43" i="13"/>
  <c r="G44" i="13"/>
  <c r="G45" i="13"/>
  <c r="G46" i="13"/>
  <c r="G47" i="13"/>
  <c r="G48" i="13"/>
  <c r="G49" i="13"/>
  <c r="G50" i="13"/>
  <c r="G51" i="13"/>
  <c r="G52" i="13"/>
  <c r="G53" i="13"/>
  <c r="G54" i="13"/>
  <c r="G55" i="13"/>
  <c r="G56" i="13"/>
  <c r="F6" i="13"/>
  <c r="F7" i="13"/>
  <c r="F8" i="13"/>
  <c r="F9" i="13"/>
  <c r="F10" i="13"/>
  <c r="F11" i="13"/>
  <c r="F13" i="13"/>
  <c r="F14" i="13"/>
  <c r="F15" i="13"/>
  <c r="F16" i="13"/>
  <c r="F17" i="13"/>
  <c r="F18" i="13"/>
  <c r="F19" i="13"/>
  <c r="F20" i="13"/>
  <c r="F21" i="13"/>
  <c r="F22" i="13"/>
  <c r="F23" i="13"/>
  <c r="F24" i="13"/>
  <c r="F25" i="13"/>
  <c r="F26" i="13"/>
  <c r="F27" i="13"/>
  <c r="F28" i="13"/>
  <c r="F29" i="13"/>
  <c r="F30" i="13"/>
  <c r="F31" i="13"/>
  <c r="F32" i="13"/>
  <c r="F33" i="13"/>
  <c r="F34" i="13"/>
  <c r="F35" i="13"/>
  <c r="F36" i="13"/>
  <c r="F37" i="13"/>
  <c r="F38" i="13"/>
  <c r="F39" i="13"/>
  <c r="F40" i="13"/>
  <c r="F41" i="13"/>
  <c r="F42" i="13"/>
  <c r="F43" i="13"/>
  <c r="F44" i="13"/>
  <c r="F45" i="13"/>
  <c r="F46" i="13"/>
  <c r="F47" i="13"/>
  <c r="F48" i="13"/>
  <c r="F49" i="13"/>
  <c r="F50" i="13"/>
  <c r="F51" i="13"/>
  <c r="F52" i="13"/>
  <c r="F53" i="13"/>
  <c r="F54" i="13"/>
  <c r="F55" i="13"/>
  <c r="F56" i="13"/>
  <c r="F7" i="3"/>
  <c r="H7" i="3"/>
  <c r="H8" i="3"/>
  <c r="H9" i="3"/>
  <c r="H10" i="3"/>
  <c r="H11" i="3"/>
  <c r="H12" i="3"/>
  <c r="H13" i="3"/>
  <c r="H14" i="3"/>
  <c r="H15" i="3"/>
  <c r="H16" i="3"/>
  <c r="H17" i="3"/>
  <c r="H18" i="3"/>
  <c r="H19" i="3"/>
  <c r="G7" i="3"/>
  <c r="G8" i="3"/>
  <c r="G9" i="3"/>
  <c r="G10" i="3"/>
  <c r="G11" i="3"/>
  <c r="G12" i="3"/>
  <c r="G13" i="3"/>
  <c r="G14" i="3"/>
  <c r="G15" i="3"/>
  <c r="G16" i="3"/>
  <c r="G17" i="3"/>
  <c r="G18" i="3"/>
  <c r="G19" i="3"/>
  <c r="H6" i="3"/>
  <c r="G6" i="3"/>
  <c r="F8" i="3"/>
  <c r="F9" i="3"/>
  <c r="F10" i="3"/>
  <c r="F11" i="3"/>
  <c r="F12" i="3"/>
  <c r="F13" i="3"/>
  <c r="F14" i="3"/>
  <c r="F15" i="3"/>
  <c r="F16" i="3"/>
  <c r="F17" i="3"/>
  <c r="F18" i="3"/>
  <c r="F19" i="3"/>
  <c r="F6" i="3"/>
  <c r="F110" i="19"/>
  <c r="C16" i="2"/>
  <c r="E16" i="2"/>
  <c r="F116" i="20"/>
  <c r="C17" i="2"/>
  <c r="E17" i="2"/>
  <c r="G15" i="6"/>
  <c r="G16" i="6"/>
  <c r="H15" i="6"/>
  <c r="H16" i="6"/>
  <c r="H21" i="7"/>
  <c r="H22" i="7"/>
  <c r="H25" i="5"/>
  <c r="H26" i="5"/>
  <c r="G25" i="5"/>
  <c r="G26" i="5"/>
  <c r="H37" i="17"/>
  <c r="H38" i="17"/>
  <c r="G37" i="17"/>
  <c r="G38" i="17"/>
  <c r="F37" i="17"/>
  <c r="F38" i="17"/>
  <c r="G17" i="8"/>
  <c r="G18" i="8"/>
  <c r="G21" i="7"/>
  <c r="G22" i="7"/>
  <c r="H38" i="14"/>
  <c r="H39" i="14"/>
  <c r="G38" i="14"/>
  <c r="G39" i="14"/>
  <c r="H17" i="8"/>
  <c r="H18" i="8"/>
  <c r="F38" i="14"/>
  <c r="F39" i="14"/>
  <c r="F22" i="16"/>
  <c r="F23" i="16"/>
  <c r="G22" i="16"/>
  <c r="G23" i="16"/>
  <c r="H22" i="16"/>
  <c r="H23" i="16"/>
  <c r="F19" i="9"/>
  <c r="F20" i="9"/>
  <c r="G19" i="9"/>
  <c r="G20" i="9"/>
  <c r="H19" i="9"/>
  <c r="H20" i="9"/>
  <c r="F21" i="7"/>
  <c r="F22" i="7"/>
  <c r="F15" i="6"/>
  <c r="F16" i="6"/>
  <c r="F17" i="8"/>
  <c r="F18" i="8"/>
  <c r="F25" i="5"/>
  <c r="F26" i="5"/>
  <c r="G57" i="13"/>
  <c r="H57" i="13"/>
  <c r="F57" i="13"/>
  <c r="G20" i="3"/>
  <c r="H20" i="3"/>
  <c r="F20" i="3"/>
  <c r="F39" i="17"/>
  <c r="C14" i="2"/>
  <c r="E14" i="2"/>
  <c r="F21" i="9"/>
  <c r="C13" i="2"/>
  <c r="E13" i="2"/>
  <c r="F19" i="8"/>
  <c r="C10" i="2"/>
  <c r="E10" i="2"/>
  <c r="F40" i="14"/>
  <c r="C11" i="2"/>
  <c r="E11" i="2"/>
  <c r="F24" i="16"/>
  <c r="C15" i="2"/>
  <c r="E15" i="2"/>
  <c r="F23" i="7"/>
  <c r="C9" i="2"/>
  <c r="E9" i="2"/>
  <c r="F17" i="6"/>
  <c r="C12" i="2"/>
  <c r="E12" i="2"/>
  <c r="F27" i="5"/>
  <c r="C8" i="2"/>
  <c r="E8" i="2"/>
  <c r="G58" i="13"/>
  <c r="H58" i="13"/>
  <c r="F58" i="13"/>
  <c r="G21" i="3"/>
  <c r="H21" i="3"/>
  <c r="F21" i="3"/>
  <c r="F59" i="13"/>
  <c r="C7" i="2"/>
  <c r="E7" i="2"/>
  <c r="F22" i="3"/>
  <c r="C6" i="2"/>
  <c r="C19" i="2"/>
  <c r="E19" i="2"/>
  <c r="E6" i="2"/>
</calcChain>
</file>

<file path=xl/sharedStrings.xml><?xml version="1.0" encoding="utf-8"?>
<sst xmlns="http://schemas.openxmlformats.org/spreadsheetml/2006/main" count="1503" uniqueCount="876">
  <si>
    <t>Task</t>
  </si>
  <si>
    <t>Score</t>
  </si>
  <si>
    <t>Section</t>
  </si>
  <si>
    <t>1. Safety</t>
  </si>
  <si>
    <t>Deliverable</t>
  </si>
  <si>
    <t>NC</t>
  </si>
  <si>
    <t>PC</t>
  </si>
  <si>
    <t>C</t>
  </si>
  <si>
    <t xml:space="preserve">Are all mechanics equipped with the appropriate set of tools?  </t>
  </si>
  <si>
    <t>Is there a program to audit, recondition, and recalibrate tools and test equipment?</t>
  </si>
  <si>
    <t>Are the scope and objectives of condition monitoring clearly defined?</t>
  </si>
  <si>
    <t>Are parts cleaned using filtered solvent recyclers or some other contamination free system?</t>
  </si>
  <si>
    <t xml:space="preserve">Are Contamination control instructions included in work procedures? </t>
  </si>
  <si>
    <t>Does a long-term plan exist for major maintenance activities that is integrated with the production schedule</t>
  </si>
  <si>
    <t xml:space="preserve">Has a process been developed that enables a business wide view of major plant and equipment shut schedules? </t>
  </si>
  <si>
    <t>Personnel</t>
  </si>
  <si>
    <t>KPI's</t>
  </si>
  <si>
    <t>Job Task templates</t>
  </si>
  <si>
    <t>Short Interval Control</t>
  </si>
  <si>
    <t>Workshop Tooling</t>
  </si>
  <si>
    <t>5S</t>
  </si>
  <si>
    <t>Contamination Control</t>
  </si>
  <si>
    <t>RCM</t>
  </si>
  <si>
    <t>Condition Monitoring</t>
  </si>
  <si>
    <t>SOS techniques</t>
  </si>
  <si>
    <t>Mag Plugs</t>
  </si>
  <si>
    <t>CTS</t>
  </si>
  <si>
    <t>Stock levels</t>
  </si>
  <si>
    <t>Staging and kitting</t>
  </si>
  <si>
    <t>Shutdown Strategy</t>
  </si>
  <si>
    <t>Shutdown Planning</t>
  </si>
  <si>
    <t>Shutdown Components</t>
  </si>
  <si>
    <t>Subcontractor Management</t>
  </si>
  <si>
    <t>Failure Analysis</t>
  </si>
  <si>
    <t>Continuous Improvement</t>
  </si>
  <si>
    <t>Has a process been developed to identify which failures require root cause analysis?</t>
  </si>
  <si>
    <t>IRT</t>
  </si>
  <si>
    <t>Is infrared thermography (IRT) used periodically as a Predictive Maintenance tool?</t>
  </si>
  <si>
    <t>Are defects detected by IRT turned into work orders for repair or further testing?</t>
  </si>
  <si>
    <t>Warranty</t>
  </si>
  <si>
    <t>Stock and serial numbers</t>
  </si>
  <si>
    <t>Are tyre pressures checked frequently?</t>
  </si>
  <si>
    <t>Is there a master gauge used to calibrate all service gauges prior to use?</t>
  </si>
  <si>
    <t>Tyre Pressure</t>
  </si>
  <si>
    <t>Is there sufficient water separators, pressure regulators and line oilers used for impact wrench, pneumatic tools, RAD torque tools?</t>
  </si>
  <si>
    <t>Torque procedure</t>
  </si>
  <si>
    <t>Tyre Tools</t>
  </si>
  <si>
    <t>Tyre Execution</t>
  </si>
  <si>
    <t>Is the tyre consumables curing times adhered to? Check and cross reference</t>
  </si>
  <si>
    <t>Tyre repair</t>
  </si>
  <si>
    <t>Are tyres repaired on site?</t>
  </si>
  <si>
    <t>Rim NDT</t>
  </si>
  <si>
    <t>Are damaged rims removed from service as soon as possible for inspection?</t>
  </si>
  <si>
    <t>Tyre Hazard Management</t>
  </si>
  <si>
    <t>Is there evidence of mining and plant personnel engaging in tyre hazard management?</t>
  </si>
  <si>
    <t>Strategy / Process</t>
  </si>
  <si>
    <t>Recommendation</t>
  </si>
  <si>
    <t>Does the organisation have a specified maintenance labour ratio? If yes, is it known?</t>
  </si>
  <si>
    <t xml:space="preserve">Are skills and training sufficient for work being completed? </t>
  </si>
  <si>
    <t>Does a policy exist to improve the skill base, safety and flexibility of the workforce?</t>
  </si>
  <si>
    <t>How visible is the performance reporting process and is it presented to maintenance personnel at regular intervals?</t>
  </si>
  <si>
    <t>Are KPI's and goals explicitly linked to employees performance appraisals?</t>
  </si>
  <si>
    <t>Are major and minor component hours tracked against OEM recommended Life Cycle Costing (LCC)?</t>
  </si>
  <si>
    <t>Is a weekly plan created from the long term plan and integrated with the production schedule?</t>
  </si>
  <si>
    <t>Is achievement against weekly schedules reported, exceptions noted and effective corrective action taken?</t>
  </si>
  <si>
    <t>Are standard job tasks used within the CMMS with BOM and resource requirements set?</t>
  </si>
  <si>
    <t>To what extent have maintenance processes been examined and redesigned to improve customer service, quality, cost?</t>
  </si>
  <si>
    <t>How often are maintenance processes reviewed for accuracy and optimisation?</t>
  </si>
  <si>
    <t>Are subcontractors inducted for the site and workshop?</t>
  </si>
  <si>
    <t xml:space="preserve">Are OEM listed critical parts kept in stock at adequate levels? </t>
  </si>
  <si>
    <t>What percentage of stores items are out-of-stock when requested?</t>
  </si>
  <si>
    <t>Are slow moving parts removed from stock? How is this managed?</t>
  </si>
  <si>
    <t>Are service level agreements in place for major suppliers?</t>
  </si>
  <si>
    <t>Are potential suppliers certified for rapid support if required? i.e. pre-qualified who meet certain criteria such as capacity, capability, risk and cost.</t>
  </si>
  <si>
    <t>Are parts, materials and service kits pre-arranged and delivered to the job site prior to the work being scheduled to begin</t>
  </si>
  <si>
    <t>Does site have a specific Continuous Improvement (CI) register (or CAR) and actions are added as identified?</t>
  </si>
  <si>
    <t>Are Root Cause Analysis results included in the Continuous Improvement Process?</t>
  </si>
  <si>
    <t>Are CI actions closed out when, and only when, they are completed?</t>
  </si>
  <si>
    <t>Is there a Continuous Improvement communication plan established and used to relay improvements to workforce?</t>
  </si>
  <si>
    <t>What is the percentage of components changed out at or after the OEM specified life?</t>
  </si>
  <si>
    <t>Are product problem distribution tracked at the component level?</t>
  </si>
  <si>
    <t>Problem ranking "Top 10"  (by incidents, cost,  availability, MTBS, MTTR) is included in the Continuous Improvement Process?</t>
  </si>
  <si>
    <t>To what degree are efforts being made to increase equipment reliability and design-out maintenance?</t>
  </si>
  <si>
    <t>Is condition monitoring results considered in component replacement (either change out early or late)?</t>
  </si>
  <si>
    <t>Are there trends in the oil sample analysis indicating poor quality sampling?</t>
  </si>
  <si>
    <t>Are SOS actions recorded in work order history?</t>
  </si>
  <si>
    <t>Are oil sample results turned around in adequate time?</t>
  </si>
  <si>
    <t>When level 3 and 4 mag plugs are found, are corrective actions taken?</t>
  </si>
  <si>
    <t>Custom Track Service (CTS) are completed by the OEM of all track gear at regular intervals?</t>
  </si>
  <si>
    <t>Kidney Loop</t>
  </si>
  <si>
    <t>Is the kidney loop system maintained to OEM specifications?</t>
  </si>
  <si>
    <t>Is a kidney loop system used for oil compartments on major services? If yes, is the oil changed on condition (not hours)?</t>
  </si>
  <si>
    <t xml:space="preserve">Reusable parts that require cleaning (such as engine breathers) are included as an exchange to reduce service downtime? </t>
  </si>
  <si>
    <t>Service Kits</t>
  </si>
  <si>
    <t>PM planning and job packs</t>
  </si>
  <si>
    <t>PM Strategy</t>
  </si>
  <si>
    <t>Are SMU hours updated daily and tracked for scheduling purposes?</t>
  </si>
  <si>
    <t>Are maintenance intervals clearly defined as per the asset management strategy? i.e. when to sample, clean, replace.</t>
  </si>
  <si>
    <t>Are service sheets completed in full and stored in history detailing defects found and remediation taken?</t>
  </si>
  <si>
    <t>Do PM sheets correctly list filter numbers, oil type and quantity required?</t>
  </si>
  <si>
    <t>Are times allocated to planned events to include PM duration as well as time to complete defects?</t>
  </si>
  <si>
    <t>Is the wash bay close to the PM bay?</t>
  </si>
  <si>
    <t>Are defects completed before equipment leaves the workshop? If defects cannot be completed, is the supervisor consulted?</t>
  </si>
  <si>
    <t>Are work orders  opened for defects which cannot be completed for next PM?</t>
  </si>
  <si>
    <t>PM Execution</t>
  </si>
  <si>
    <t>Is there a shutdown management process and is it followed?</t>
  </si>
  <si>
    <t>Are parts physically confirmed before shutdown? Preferably by shutdown leader.</t>
  </si>
  <si>
    <t>Is a tracking Gantt chart established for all shutdown activities and updated with progress?</t>
  </si>
  <si>
    <t>Shutdown Execution</t>
  </si>
  <si>
    <t>Are components fitted with the correct stand for the purpose of transportation?</t>
  </si>
  <si>
    <t>Is there a breakdown management plan?</t>
  </si>
  <si>
    <t>Breakdown Strategy</t>
  </si>
  <si>
    <t>Breakdown Work Pack</t>
  </si>
  <si>
    <t>If yes, is the breakdown management plan being followed?</t>
  </si>
  <si>
    <t>Breakdown Execution</t>
  </si>
  <si>
    <t>Are there dedicated technicians for breakdown execution?</t>
  </si>
  <si>
    <t>Are there adequate breakdown vehicles and is each vehicle sufficiently fitted with tooling/consumables required to repair breakdowns?</t>
  </si>
  <si>
    <t>Are breakdown work orders closed within 48 hours and notes, downtime and labour allocated. Specific mention if no fault is found or operational error</t>
  </si>
  <si>
    <t>Are plugs and caps used to cover open hose/tube connections on major components during breakdown repairs?</t>
  </si>
  <si>
    <t>Are work orders coded correctly?</t>
  </si>
  <si>
    <t>Are work orders opened when defects are identified on operator pre-starts?</t>
  </si>
  <si>
    <t>Are work orders opened from input of condition monitoring results? e.g. oil sampling</t>
  </si>
  <si>
    <t>Is lost tread calculated?</t>
  </si>
  <si>
    <t>Does management approve all major tyre repairs or scrap decision?</t>
  </si>
  <si>
    <t>Is there a record of the serial numbers available and updated?</t>
  </si>
  <si>
    <t>Are tyre serial numbers recorded when changed?</t>
  </si>
  <si>
    <t>Is a rim and tyre stock take conducted frequently?</t>
  </si>
  <si>
    <t>Are all the tyres stored correctly in rows according to size?</t>
  </si>
  <si>
    <t>Is there concrete under tyre change out bay and engineered to relevant standards?</t>
  </si>
  <si>
    <t>Is the area for repairing tyres well ventilated or is there a equipment used to remove toxic fumes during tyre repairs?</t>
  </si>
  <si>
    <t>Are the repaired tyre failures being checked for reasons why to prevent re-occurrence?</t>
  </si>
  <si>
    <t>Are rims torqued to correct OEM specification, incorporating different torque specs for lubrication?</t>
  </si>
  <si>
    <t>Are retorques completed after required period?</t>
  </si>
  <si>
    <t>Are all tools well kept and properly identified so that any missing or returned tools can be identified immediately?</t>
  </si>
  <si>
    <t>Is the workshop kept clean and free of dirt &amp; oil spillage?</t>
  </si>
  <si>
    <t>Are walkways, benches and bin locations demarcated with coloured paint?</t>
  </si>
  <si>
    <t>Are oil hose reels well maintained, marked, and located in each bay?</t>
  </si>
  <si>
    <t>Are SIC meetings completed in less than 10 minutes?</t>
  </si>
  <si>
    <t>During SIC meetings, if job tasks deviate from plan, are relevant people notified of expected variance (Escalation)?</t>
  </si>
  <si>
    <t>Is the lifting equipment certified, tagged and recorded on a register?</t>
  </si>
  <si>
    <t>Is the electrical equipment certified, tagged and recorded on a register?</t>
  </si>
  <si>
    <t>Are all maintenance personnel inducted and records kept on a skills matrix?</t>
  </si>
  <si>
    <t>Are safety KPI's recorded and discussed with workforce frequently?</t>
  </si>
  <si>
    <t>Are individual position responsibilities and accountabilities (PD or RACI) documented and available for employees?</t>
  </si>
  <si>
    <t>Are employee personal training plans created and implemented?</t>
  </si>
  <si>
    <t>Is "Top Five" analysis of maintenance costs and downtime available and used to make maintenance decisions?</t>
  </si>
  <si>
    <t>Is a SIC template used where actions are recorded (fix, stabilise, prepare, improve) as well as forward and backward looking activities? Template should follow SIC meeting agenda.</t>
  </si>
  <si>
    <t>Is maintenance department process-oriented? (Not functionally oriented)</t>
  </si>
  <si>
    <t>Are all daily activities documented and processes followed?</t>
  </si>
  <si>
    <t>Do current maintenance processes involve many non-value adding activities like waiting, reviewing, approving?</t>
  </si>
  <si>
    <t>Does a contractor management policy exist that covers safety, cost efficiency, work quality.</t>
  </si>
  <si>
    <t>How many open warranty claims (WIP) are currently open?</t>
  </si>
  <si>
    <t>Has the Health and Safety policy been communicated to all employees and other related parties?</t>
  </si>
  <si>
    <t>Is a hazard identification and risk assessment conducted prior to starting all tasks?</t>
  </si>
  <si>
    <t>Are risk controls implemented for manual handling/vibration tasks (including repetitive tasks)?</t>
  </si>
  <si>
    <t>Are risk control measures implemented for work at heights?</t>
  </si>
  <si>
    <t>Are noise hazards controlled?</t>
  </si>
  <si>
    <t>Are personnel who work with hazardous plant, equipment or facilities protected from such hazards?</t>
  </si>
  <si>
    <t>Emergency evacuation plans for worksite are developed, communicated and tested regularly</t>
  </si>
  <si>
    <t xml:space="preserve">Are separate bins available for waste, hydrocarbons and recycling? </t>
  </si>
  <si>
    <t>If temporary repairs are undertaken for breakdown purposes, are they scheduled for permanent repair?</t>
  </si>
  <si>
    <t>Are warranty claims being lodged correctly following any failure of guaranteed parts, components or machinery?</t>
  </si>
  <si>
    <t xml:space="preserve">Are workshop toolbox meetings being conducted &amp; minuted weekly </t>
  </si>
  <si>
    <t>Are all Brake &amp; Steering repairs tested &amp; recorded for completion before machine is sent back to work?</t>
  </si>
  <si>
    <t>Are all chemicals &amp; hydrocarbons used by the maintenance department stored correctly?</t>
  </si>
  <si>
    <t>What was the actual maintenance labour ratio for the previous month? Does it meet the organisations maintenance ratio?</t>
  </si>
  <si>
    <t>Is a site personnel training and competence matrix kept and updated regularly?</t>
  </si>
  <si>
    <t>Does a site asset register exist showing the status of all assets?</t>
  </si>
  <si>
    <t>Is a specific position (either on or off site) responsible for analysing KPI's and making recommendations based on the outcomes?</t>
  </si>
  <si>
    <t>Weekly Planning / Scheduling</t>
  </si>
  <si>
    <t>Long Term Planning (&gt;3 months)</t>
  </si>
  <si>
    <t>Are the component SMU meeting or exceeding the OEM recommended LCC SMU?</t>
  </si>
  <si>
    <t>Is a component replacement forecast generated and requirements managed to ensure availability? (orders placed to manage OEM or supplier lead time)</t>
  </si>
  <si>
    <t>Is the plan formally accepted by maintenance, production and any other parties before implementation?</t>
  </si>
  <si>
    <t>Do maintenance supervisors follow up with each tradesman “on the job” constantly during the working day, then supply updates at SIC meetings?</t>
  </si>
  <si>
    <t>Job board is updated frequently and monitored by maintenance management (including supervisors) with involvement of Production (Short Interval Control [SIC] meeting)</t>
  </si>
  <si>
    <t xml:space="preserve">At SIC meetings, is there a known agenda including backward looking, forward looking and job task priorities discussed constructively with control measures implemented to return tasks to plan? </t>
  </si>
  <si>
    <t>Maintenance Process and Procedure</t>
  </si>
  <si>
    <t>Is there a Work In Progress (WIP) report &amp; warranty report available, updated &amp; reported weekly onsite?</t>
  </si>
  <si>
    <t>Percentage of warranty claims accepted versus rejected over previous 3 months?</t>
  </si>
  <si>
    <t>If parts are not used from the work kit, are they returned to stock or returned to supplier (non stock items)?</t>
  </si>
  <si>
    <t>What are cycle times for direct purchase from supplier to warehouse?</t>
  </si>
  <si>
    <t>What percentage of orders are Delivered In Full On Time (DIFOT)?</t>
  </si>
  <si>
    <t>Is there a specific position responsible for the development of PM routines and improvement programs?</t>
  </si>
  <si>
    <t>Is there a formal process to ensure significant failures are analysed to determine root-cause and establish preventive measures, and to what degree is it applied?</t>
  </si>
  <si>
    <t xml:space="preserve">Are SMU hours inputted correctly into the CMMS at time of component failure? </t>
  </si>
  <si>
    <t>Are other condition monitoring techniques used to increase component life?</t>
  </si>
  <si>
    <t>Are SOS actions confirmed in Oil Commander/other software package?</t>
  </si>
  <si>
    <t>Are SOS actions undertaken and entered into Oil Commander/ other software package?</t>
  </si>
  <si>
    <t>Are technicians following OEM guidelines for oil sampling?</t>
  </si>
  <si>
    <t>Are charts located around the workshop depicting how to complete oil samples correctly?</t>
  </si>
  <si>
    <t>Are magnetic plugs checked on OHT frequently and the results recorded?</t>
  </si>
  <si>
    <t>Is IRT being used by trained thermographers holding at a minimum TCAT1 certification?</t>
  </si>
  <si>
    <t>Are PM routines being completed within a defined SMU tolerance?</t>
  </si>
  <si>
    <t>Are pre-service inspections completed by a dedicated team / person?</t>
  </si>
  <si>
    <t>Is plant cleaned sufficiently prior to PM activities?</t>
  </si>
  <si>
    <t>Do PM routines follow dedicated process?</t>
  </si>
  <si>
    <t>Service kits contain all filters, O-ring seals and replaceable components</t>
  </si>
  <si>
    <t>Are charts located around the workshop indicating the oil type and grade for each compartment on each machine?</t>
  </si>
  <si>
    <t>Are parts and resources organised for shutdowns far enough in advance to prevent delays?</t>
  </si>
  <si>
    <t>Is a dedicated area set up for staging shutdown parts? Ideally the area should be quarantined and demarcated.</t>
  </si>
  <si>
    <t>Do shutdown work packs include all work orders, OEM reference material and relevant company forms and procedures?</t>
  </si>
  <si>
    <t>Is a shutdown leader assigned to take responsibility of shutdown?</t>
  </si>
  <si>
    <t>Is commissioning completed at the end of component change outs to ensure items such as system pressures are within spec and associated filters have been replaced / systems cleaned?</t>
  </si>
  <si>
    <t>Are plugs and caps used to cover open hose/tube connections on major components and associated items?</t>
  </si>
  <si>
    <t>Are in and out serial numbers recorded for components then stored in CMMS?</t>
  </si>
  <si>
    <t>Are components tagged after removal from unit listing serial numbers, asset numbers, hours, date and reason for removal?</t>
  </si>
  <si>
    <t xml:space="preserve">Prior to dispatch have all components been checked for relevant documentation? </t>
  </si>
  <si>
    <t>Are components plugged and wrapped prior delivery to store to prevent contamination?</t>
  </si>
  <si>
    <t>Are breakdowns directed to the workshop where ever possible? (providing safe and effective to do so)</t>
  </si>
  <si>
    <t>Are work orders raised for breakdown events and system checked to ascertain if WO is already open preventing double ups?</t>
  </si>
  <si>
    <t>Are OEM procedures present on the job site and being followed?</t>
  </si>
  <si>
    <t>Are work orders closed with all labour and parts assigned to the job?</t>
  </si>
  <si>
    <t>Are work orders closed within 6 weeks of opening?</t>
  </si>
  <si>
    <t>Are work orders closed within 48 hours of job completion - notes added including SMU and repair methods?</t>
  </si>
  <si>
    <t>Is work order information correct with event type, job description and SMU?</t>
  </si>
  <si>
    <t>Are work orders opened for defects on assets or is there a recorded defect listing for each asset?</t>
  </si>
  <si>
    <t>Work orders are analysed using the Pareto Principle (80/20 rule) to identify where effort should be increased?</t>
  </si>
  <si>
    <t>Are tyre change outs recorded on the correct form and documented?</t>
  </si>
  <si>
    <t>Is there a tyre change out and rotation procedure and is it being followed?</t>
  </si>
  <si>
    <t>If no serial numbers are legible, are tyres branded?</t>
  </si>
  <si>
    <t>Are all rims and components stored correctly in the storage yard to minimise damage from equipment and the weather? Rims and components must not be allowed to touch the ground except for rims ready to be sent for NDT, for warranty or for repair.</t>
  </si>
  <si>
    <t>Are rims crack tested as per Australian Standards and a register maintained?</t>
  </si>
  <si>
    <t>Is a designated area used for tyre change outs?</t>
  </si>
  <si>
    <t>Are all tyres cleaned thoroughly prior to undertaking mounting activities or other repairs?</t>
  </si>
  <si>
    <t>Do site personnel understand welding is not allowed on any rim mounted with a tyre?</t>
  </si>
  <si>
    <t>Are the operations personnel aware of the Overheated Tyre procedure?</t>
  </si>
  <si>
    <t>Does the tyre crew understand the minimum safe distance for a tyre fire is 500m from the sidewall?</t>
  </si>
  <si>
    <t>Is a lubrication tank farm or distribution system utilised?</t>
  </si>
  <si>
    <t>Are workbenches adequately  equipped, available, and well located to reduce waste?</t>
  </si>
  <si>
    <t>Are bulk oils clean (at tank and dispensing nozzles)?</t>
  </si>
  <si>
    <t>Are contamination control supplies (caps, plugs, tape, etc.) readily available in the store?</t>
  </si>
  <si>
    <t>Are tools accounted for before leaving tool store?</t>
  </si>
  <si>
    <t>Are workshop tools calibrated and fit for purpose?</t>
  </si>
  <si>
    <t>Are workshop safety inspections being conducted every shift &amp; is suitable corrective action occurring where required?</t>
  </si>
  <si>
    <t>2.1.1</t>
  </si>
  <si>
    <t>2.2.1</t>
  </si>
  <si>
    <t xml:space="preserve">Are Health and Safety incidents being identified and reported? </t>
  </si>
  <si>
    <t>Health And Safety Policy and Procedure</t>
  </si>
  <si>
    <t>Hazard and Risk Control</t>
  </si>
  <si>
    <t>Certified Equipment</t>
  </si>
  <si>
    <t>Maintenance Health Assessment</t>
  </si>
  <si>
    <t>Maintenance Health Assessment - Safety</t>
  </si>
  <si>
    <t>1.1.1</t>
  </si>
  <si>
    <t>1.1.2</t>
  </si>
  <si>
    <t>1.1.3</t>
  </si>
  <si>
    <t>1.1.4</t>
  </si>
  <si>
    <t>1.2.1</t>
  </si>
  <si>
    <t>1.2.2</t>
  </si>
  <si>
    <t>1.2.3</t>
  </si>
  <si>
    <t>1.2.4</t>
  </si>
  <si>
    <t>1.2.5</t>
  </si>
  <si>
    <t>1.2.6</t>
  </si>
  <si>
    <t>1.3.1</t>
  </si>
  <si>
    <t>1.3.2</t>
  </si>
  <si>
    <t>Emerg-ency</t>
  </si>
  <si>
    <t>Isol-ation</t>
  </si>
  <si>
    <t>Sub Total</t>
  </si>
  <si>
    <t>Weighted Total</t>
  </si>
  <si>
    <t>2. Maintenance Strategy</t>
  </si>
  <si>
    <t>4. Shutdown Strategy</t>
  </si>
  <si>
    <t>5. Breakdown Strategy</t>
  </si>
  <si>
    <t>6. Sustainability</t>
  </si>
  <si>
    <t>8. Inventory Strategy</t>
  </si>
  <si>
    <t>9. Tyre Strategy</t>
  </si>
  <si>
    <t>10. Workshop Condition</t>
  </si>
  <si>
    <t>Total</t>
  </si>
  <si>
    <t>2.1.2</t>
  </si>
  <si>
    <t>2.1.3</t>
  </si>
  <si>
    <t>2.1.4</t>
  </si>
  <si>
    <t>2.1.5</t>
  </si>
  <si>
    <t>2.2.2</t>
  </si>
  <si>
    <t>2.2.3</t>
  </si>
  <si>
    <t>2.2.4</t>
  </si>
  <si>
    <t>2.2.5</t>
  </si>
  <si>
    <t>2.2.6</t>
  </si>
  <si>
    <t>2.2.7</t>
  </si>
  <si>
    <t>2.2.8</t>
  </si>
  <si>
    <t>2.2.9</t>
  </si>
  <si>
    <t>2.2.10</t>
  </si>
  <si>
    <t>2.2.11</t>
  </si>
  <si>
    <t>2.2.12</t>
  </si>
  <si>
    <t>2.2.13</t>
  </si>
  <si>
    <t>2.2.14</t>
  </si>
  <si>
    <t>2.3.1</t>
  </si>
  <si>
    <t>2.3.2</t>
  </si>
  <si>
    <t>2.3.3</t>
  </si>
  <si>
    <t>2.3.4</t>
  </si>
  <si>
    <t>2.3.5</t>
  </si>
  <si>
    <t>2.4.1</t>
  </si>
  <si>
    <t>2.4.2</t>
  </si>
  <si>
    <t>2.4.3</t>
  </si>
  <si>
    <t>2.5.1</t>
  </si>
  <si>
    <t>2.5.2</t>
  </si>
  <si>
    <t>2.6.1</t>
  </si>
  <si>
    <t>2.6.2</t>
  </si>
  <si>
    <t>2.6.3</t>
  </si>
  <si>
    <t>2.6.4</t>
  </si>
  <si>
    <t>2.6.5</t>
  </si>
  <si>
    <t>2.6.6</t>
  </si>
  <si>
    <t>2.6.7</t>
  </si>
  <si>
    <t>2.7.1</t>
  </si>
  <si>
    <t>2.7.2</t>
  </si>
  <si>
    <t>2.7.3</t>
  </si>
  <si>
    <t>2.7.4</t>
  </si>
  <si>
    <t>2.7.5</t>
  </si>
  <si>
    <t>2.7.6</t>
  </si>
  <si>
    <t>2.7.7</t>
  </si>
  <si>
    <t>2.7.8</t>
  </si>
  <si>
    <t>2.8.1</t>
  </si>
  <si>
    <t>2.8.2</t>
  </si>
  <si>
    <t>2.8.3</t>
  </si>
  <si>
    <t>2.9.1</t>
  </si>
  <si>
    <t>2.9.2</t>
  </si>
  <si>
    <t>2.9.3</t>
  </si>
  <si>
    <t>2.9.4</t>
  </si>
  <si>
    <t>/ 150</t>
  </si>
  <si>
    <t>/ 42</t>
  </si>
  <si>
    <t>Maintenance Health Assessment - Maintenance Strategy</t>
  </si>
  <si>
    <t>Are the following KPI's easily acceptable using minimum amount of clerical effort, using data contained within the CMMS system and used to make maintenance based decisions:</t>
  </si>
  <si>
    <t xml:space="preserve">      - Machine Availability (individually and by fleet)?</t>
  </si>
  <si>
    <t xml:space="preserve">     - MTBF (effectiveness)  (individually and by fleet)?</t>
  </si>
  <si>
    <t xml:space="preserve">     - MTBS (quality)  (individually and by fleet)?</t>
  </si>
  <si>
    <t xml:space="preserve">     - MTTR (efficiency)  (individually and by fleet)?</t>
  </si>
  <si>
    <t xml:space="preserve">     - Percentage of breakdown (CM) work orders compared to planned (PM) work orders.  (individually and fleet)?</t>
  </si>
  <si>
    <t xml:space="preserve">     - First stoppage after service  (individually and by fleet)?</t>
  </si>
  <si>
    <t xml:space="preserve">     - Asset utilisation  (individually and by fleet)?</t>
  </si>
  <si>
    <t>Do supervisors regularly discuss performance data, including utilisation of assets and costs with their work teams?</t>
  </si>
  <si>
    <t>Have all major shuts been identified for at least 1 year with plan in place allocating responsibility to individuals to plan and execute?</t>
  </si>
  <si>
    <t>Are completed work orders reviewed for actual man-hours and material usage to improve planning on future jobs and templates?</t>
  </si>
  <si>
    <t>Are daily tasks documented on a job board listing names of workers, expected time in and out, and description of task?</t>
  </si>
  <si>
    <t>Are subcontractor vehicles and toolboxes inspected for compliance with company procedures?</t>
  </si>
  <si>
    <t>Result</t>
  </si>
  <si>
    <t>3.1.1</t>
  </si>
  <si>
    <t>3.1.2</t>
  </si>
  <si>
    <t>3.1.3</t>
  </si>
  <si>
    <t>3.2.1</t>
  </si>
  <si>
    <t>3.2.2</t>
  </si>
  <si>
    <t>3.2.3</t>
  </si>
  <si>
    <t>3.2.4</t>
  </si>
  <si>
    <t>3.3.1</t>
  </si>
  <si>
    <t>3.3.2</t>
  </si>
  <si>
    <t>3.3.3</t>
  </si>
  <si>
    <t>3.3.4</t>
  </si>
  <si>
    <t>3.3.5</t>
  </si>
  <si>
    <t>3.3.6</t>
  </si>
  <si>
    <t>3.3.7</t>
  </si>
  <si>
    <t>3.4.1</t>
  </si>
  <si>
    <t>3.4.2</t>
  </si>
  <si>
    <t>3.4.3</t>
  </si>
  <si>
    <t>3.5.1</t>
  </si>
  <si>
    <t>3.5.2</t>
  </si>
  <si>
    <t>/ 57</t>
  </si>
  <si>
    <t>Maintenance Health Assessment - Preventative Maintenance Strategy</t>
  </si>
  <si>
    <t>4.1.1</t>
  </si>
  <si>
    <t>4.1.2</t>
  </si>
  <si>
    <t>4.2.1</t>
  </si>
  <si>
    <t>4.2.2</t>
  </si>
  <si>
    <t>4.2.3</t>
  </si>
  <si>
    <t>4.2.4</t>
  </si>
  <si>
    <t>4.2.5</t>
  </si>
  <si>
    <t>4.3.1</t>
  </si>
  <si>
    <t>4.3.2</t>
  </si>
  <si>
    <t>4.3.3</t>
  </si>
  <si>
    <t>4.4.1</t>
  </si>
  <si>
    <t>4.4.2</t>
  </si>
  <si>
    <t>4.4.3</t>
  </si>
  <si>
    <t>4.4.5</t>
  </si>
  <si>
    <t>4.4.4</t>
  </si>
  <si>
    <t>Maintenance Health Assessment - Shutdown Strategy</t>
  </si>
  <si>
    <t>/ 45</t>
  </si>
  <si>
    <t>5.1.1</t>
  </si>
  <si>
    <t>5.1.2</t>
  </si>
  <si>
    <t>5.1.3</t>
  </si>
  <si>
    <t>5.2.1</t>
  </si>
  <si>
    <t>5.2.2</t>
  </si>
  <si>
    <t>5.2.3</t>
  </si>
  <si>
    <t>5.3.1</t>
  </si>
  <si>
    <t>5.3.2</t>
  </si>
  <si>
    <t>5.3.3</t>
  </si>
  <si>
    <t>5.3.4</t>
  </si>
  <si>
    <t>/ 33</t>
  </si>
  <si>
    <t>6.1.1</t>
  </si>
  <si>
    <t>6.1.2</t>
  </si>
  <si>
    <t>6.1.3</t>
  </si>
  <si>
    <t>6.1.4</t>
  </si>
  <si>
    <t>6.2.1</t>
  </si>
  <si>
    <t>6.2.2</t>
  </si>
  <si>
    <t>6.2.3</t>
  </si>
  <si>
    <t>6.2.4</t>
  </si>
  <si>
    <t>6.3.1</t>
  </si>
  <si>
    <t>6.3.2</t>
  </si>
  <si>
    <t>6.3.3</t>
  </si>
  <si>
    <t>6.3.4</t>
  </si>
  <si>
    <t>6.3.5</t>
  </si>
  <si>
    <t>6.4.1</t>
  </si>
  <si>
    <t>6.4.3</t>
  </si>
  <si>
    <t>6.5.1</t>
  </si>
  <si>
    <t>6.5.2</t>
  </si>
  <si>
    <t>6.5.3</t>
  </si>
  <si>
    <t>6.5.4</t>
  </si>
  <si>
    <t>6.5.5</t>
  </si>
  <si>
    <t>6.5.6</t>
  </si>
  <si>
    <t>6.5.7</t>
  </si>
  <si>
    <t>6.5.8</t>
  </si>
  <si>
    <t>6.5.9</t>
  </si>
  <si>
    <t>6.6.1</t>
  </si>
  <si>
    <t>6.6.2</t>
  </si>
  <si>
    <t>6.7.1</t>
  </si>
  <si>
    <t>6.7.2</t>
  </si>
  <si>
    <t>6.8.1</t>
  </si>
  <si>
    <t>6.8.2</t>
  </si>
  <si>
    <t>6.8.3</t>
  </si>
  <si>
    <t>Maintenance Health Assessment - Sustainability</t>
  </si>
  <si>
    <t>Is there dedicated responsibility to trained personnel for SOS trending and analysis?</t>
  </si>
  <si>
    <t>Are results from CTS analysed to determine when to replace undercarriage components?</t>
  </si>
  <si>
    <t>Are samples returned clean, timely and with required information (date, SMU, ID #, component)?</t>
  </si>
  <si>
    <t>/ 96</t>
  </si>
  <si>
    <t>Work Order Management</t>
  </si>
  <si>
    <t>Maintenance Health Assessment - Work Order Strategy</t>
  </si>
  <si>
    <t>7.1.1</t>
  </si>
  <si>
    <t>7.1.2</t>
  </si>
  <si>
    <t>7.1.3</t>
  </si>
  <si>
    <t>7.1.4</t>
  </si>
  <si>
    <t>7.1.5</t>
  </si>
  <si>
    <t>7.1.6</t>
  </si>
  <si>
    <t>7.1.7</t>
  </si>
  <si>
    <t>7.1.8</t>
  </si>
  <si>
    <t>7.1.9</t>
  </si>
  <si>
    <t>/ 27</t>
  </si>
  <si>
    <t>Maintenance Health Assessment - Inventory Strategy</t>
  </si>
  <si>
    <t>Purchase Strategy</t>
  </si>
  <si>
    <t>Have single-source supply agreements been established for all items of a similar class (e.g. fasteners, lubricants etc.)?</t>
  </si>
  <si>
    <t>Does an up-to-date stores catalogue exist showing all standard stores items, stock numbers, location, quantity on-hand?</t>
  </si>
  <si>
    <t>On what basis are stores items reordered? i.e.., economic quantity, min/max, safety stock, seasonal</t>
  </si>
  <si>
    <t>Parts and tooling in stage and kit form ready for work task 12 hours before the scheduled commencement date?</t>
  </si>
  <si>
    <t>8.1.1</t>
  </si>
  <si>
    <t>8.1.2</t>
  </si>
  <si>
    <t>8.1.3</t>
  </si>
  <si>
    <t>8.2.1</t>
  </si>
  <si>
    <t>8.2.2</t>
  </si>
  <si>
    <t>8.2.3</t>
  </si>
  <si>
    <t>8.2.4</t>
  </si>
  <si>
    <t>8.2.5</t>
  </si>
  <si>
    <t>8.2.6</t>
  </si>
  <si>
    <t>8.2.7</t>
  </si>
  <si>
    <t>8.3.1</t>
  </si>
  <si>
    <t>8.3.2</t>
  </si>
  <si>
    <t>8.3.3</t>
  </si>
  <si>
    <t>9.1.1</t>
  </si>
  <si>
    <t>9.1.2</t>
  </si>
  <si>
    <t>9.1.3</t>
  </si>
  <si>
    <t>9.1.4</t>
  </si>
  <si>
    <t>9.2.1</t>
  </si>
  <si>
    <t>9.2.2</t>
  </si>
  <si>
    <t>9.2.3</t>
  </si>
  <si>
    <t>9.2.4</t>
  </si>
  <si>
    <t>9.2.5</t>
  </si>
  <si>
    <t>9.2.6</t>
  </si>
  <si>
    <t>9.3.1</t>
  </si>
  <si>
    <t>9.3.2</t>
  </si>
  <si>
    <t>9.4.1</t>
  </si>
  <si>
    <t>9.4.2</t>
  </si>
  <si>
    <t>9.5.1</t>
  </si>
  <si>
    <t>9.5.2</t>
  </si>
  <si>
    <t>9.5.3</t>
  </si>
  <si>
    <t>9.6.1</t>
  </si>
  <si>
    <t>9.6.2</t>
  </si>
  <si>
    <t>9.6.3</t>
  </si>
  <si>
    <t>9.6.4</t>
  </si>
  <si>
    <t>9.7.1</t>
  </si>
  <si>
    <t>9.7.2</t>
  </si>
  <si>
    <t>9.8.1</t>
  </si>
  <si>
    <t>9.8.2</t>
  </si>
  <si>
    <t>9.8.3</t>
  </si>
  <si>
    <t>9.8.4</t>
  </si>
  <si>
    <t>9.9.1</t>
  </si>
  <si>
    <t>9.9.2</t>
  </si>
  <si>
    <t>9.9.3</t>
  </si>
  <si>
    <t>9.9.4</t>
  </si>
  <si>
    <t>/ 93</t>
  </si>
  <si>
    <t>Maintenance Health Assessment - Tyre Strategy</t>
  </si>
  <si>
    <t>10.1.1</t>
  </si>
  <si>
    <t>10.1.2</t>
  </si>
  <si>
    <t>10.1.3</t>
  </si>
  <si>
    <t>10.1.4</t>
  </si>
  <si>
    <t>10.1.5</t>
  </si>
  <si>
    <t>10.1.6</t>
  </si>
  <si>
    <t>10.2.1</t>
  </si>
  <si>
    <t>10.2.2</t>
  </si>
  <si>
    <t>10.2.3</t>
  </si>
  <si>
    <t>10.2.4</t>
  </si>
  <si>
    <t>10.2.5</t>
  </si>
  <si>
    <t>10.3.1</t>
  </si>
  <si>
    <t>10.3.2</t>
  </si>
  <si>
    <t>10.3.3</t>
  </si>
  <si>
    <t>10.3.4</t>
  </si>
  <si>
    <t>10.3.5</t>
  </si>
  <si>
    <t>/ 48</t>
  </si>
  <si>
    <t>Are workshop bays equipped with water, air and electrical points?</t>
  </si>
  <si>
    <t>Maintenance Health Assessment - Workshop Condition</t>
  </si>
  <si>
    <t>Summary</t>
  </si>
  <si>
    <t>1.4.1</t>
  </si>
  <si>
    <t>1.5.1</t>
  </si>
  <si>
    <t>3. Preventative Maintenance Strategy</t>
  </si>
  <si>
    <t>7. Work Order Strategy</t>
  </si>
  <si>
    <t>Maintenance Health Assessment - Breakdown Strategy</t>
  </si>
  <si>
    <t>Are PM work packs generated including open work orders and sent to store for staging and kitting? (see staging and kitting, Inventory Strategy)</t>
  </si>
  <si>
    <t>Are PM activates completed in a dedicated bay designed and laid out to promote efficiency?</t>
  </si>
  <si>
    <t>Are reliability techniques used, e.g., failure mode and effects (FMEA), reliability-centred maintenance, HAZOP, root-cause analysis?</t>
  </si>
  <si>
    <t>Are rims torqued using pneumatic torqueing tool?</t>
  </si>
  <si>
    <t>Are all hydraulic jacks, manual and pneumatic driven, clean with no oil leaks?</t>
  </si>
  <si>
    <t>Total Score</t>
  </si>
  <si>
    <t>2014</t>
  </si>
  <si>
    <t>2013</t>
  </si>
  <si>
    <t>Current</t>
  </si>
  <si>
    <t>Maintenance Health Assessment - Plant Condition - Dig Unit</t>
  </si>
  <si>
    <t>/ 39</t>
  </si>
  <si>
    <t>Machine Identity / Equipment No. displayed in prominent positions</t>
  </si>
  <si>
    <t>Emergency Sticker in cab</t>
  </si>
  <si>
    <t>Warning Information Stickers in cab</t>
  </si>
  <si>
    <t>Hearing Protection Signage if required</t>
  </si>
  <si>
    <t>Machine clean and cab tidy with good housekeeping</t>
  </si>
  <si>
    <t>Dry Break Refuelling System fitted</t>
  </si>
  <si>
    <t>Machine starts easily</t>
  </si>
  <si>
    <t>Test and record cycle times</t>
  </si>
  <si>
    <t>Machine Test Drives Satisfactory</t>
  </si>
  <si>
    <t>All oil fill points correct as per ILD specification</t>
  </si>
  <si>
    <t>Pre-start inspection system in place – books in cab</t>
  </si>
  <si>
    <t>Engine oil level. Check for possible fuel dilution/contamination</t>
  </si>
  <si>
    <t>Engine oil dipstick condition</t>
  </si>
  <si>
    <t>Engine oil leaks</t>
  </si>
  <si>
    <t>Engine mounts</t>
  </si>
  <si>
    <t>Coolers secure and no leaks</t>
  </si>
  <si>
    <t>Fan belts  and pulley condition and adjustment</t>
  </si>
  <si>
    <t>Radiator mounts</t>
  </si>
  <si>
    <t>Radiator cores clean</t>
  </si>
  <si>
    <t>Radiator and cooling systems leaks or damage</t>
  </si>
  <si>
    <t>Air conditioner compressor secure and belts adjusted</t>
  </si>
  <si>
    <t>Alternator secure and belts adjusted</t>
  </si>
  <si>
    <t>Engine harnesses</t>
  </si>
  <si>
    <t>Engine ECM secure</t>
  </si>
  <si>
    <t>Fuel hoses leaks and condition</t>
  </si>
  <si>
    <t>Turbochargers secure and no leaks</t>
  </si>
  <si>
    <t>Boost hoses and clamps condition and tightness</t>
  </si>
  <si>
    <t>Air Filters in place and gauges working</t>
  </si>
  <si>
    <t>Hydraulic tank secure, brackets in place, oil level</t>
  </si>
  <si>
    <t>Hydraulic hose leaks, condition and chaffing</t>
  </si>
  <si>
    <t xml:space="preserve">Pipes and hoses secured with clamps </t>
  </si>
  <si>
    <t>Pumps for unusual noise/vibration</t>
  </si>
  <si>
    <t>Pump drive leaks, secure mounting and oil level</t>
  </si>
  <si>
    <t>Boom lift cylinder condition and no symptoms of bypass</t>
  </si>
  <si>
    <t>Stick cylinder condition and no symptoms of bypass</t>
  </si>
  <si>
    <t>Bucket cylinder condition and no symptoms of bypass</t>
  </si>
  <si>
    <t>All cylinder pins for correct mounting and security</t>
  </si>
  <si>
    <t>Movement in pins and bushes</t>
  </si>
  <si>
    <t>All pins receiving grease</t>
  </si>
  <si>
    <t>Grease injector operation</t>
  </si>
  <si>
    <t>Grease lines and manifolds for leaks</t>
  </si>
  <si>
    <t>Grease pump operation</t>
  </si>
  <si>
    <t>Grease pot secure and no leaks</t>
  </si>
  <si>
    <t>All hand rails and decking secure and no protruding edges.</t>
  </si>
  <si>
    <t>Body for damage</t>
  </si>
  <si>
    <t>All guards fitted as required</t>
  </si>
  <si>
    <t>Car body and boom – Fatigue and Cracks</t>
  </si>
  <si>
    <t>Mirrors of suitable size, shape &amp; quantity</t>
  </si>
  <si>
    <t>Door mechanisms working correctly</t>
  </si>
  <si>
    <t xml:space="preserve">Battery Box and Battery secure </t>
  </si>
  <si>
    <t>Non-slip Coatings on surfaces as applicable</t>
  </si>
  <si>
    <t>Fuel Tank Components – Mounting Brackets, leaks and free of damage</t>
  </si>
  <si>
    <t>Fire suppression system charged and inspections in date</t>
  </si>
  <si>
    <t>Fire suppression bottle secure and condition</t>
  </si>
  <si>
    <t>Fire suppression actuators</t>
  </si>
  <si>
    <t>Fire suppression lines secure and condition</t>
  </si>
  <si>
    <t>Fire Suppression Override System Operational in cab</t>
  </si>
  <si>
    <t>Fire extinguishers charged and inspections in date</t>
  </si>
  <si>
    <t>Fire extinguishers secure and condition</t>
  </si>
  <si>
    <t>Track link, grouser and bolts condition and wear</t>
  </si>
  <si>
    <t>Final drive sprocket condition and wear</t>
  </si>
  <si>
    <t>Load roller condition and wear</t>
  </si>
  <si>
    <t>Carrier roller condition and wear</t>
  </si>
  <si>
    <t>Idler condition and wear</t>
  </si>
  <si>
    <t>Final drive for leaks and damage</t>
  </si>
  <si>
    <t>Battery Isolator fitted (Lock Out Type) and operational</t>
  </si>
  <si>
    <t>Starter Motor Isolator operational</t>
  </si>
  <si>
    <t>Emergency Stop Button located at ground level and operational</t>
  </si>
  <si>
    <t>Emergency Stop Button located in the cab and operational</t>
  </si>
  <si>
    <t xml:space="preserve">Two-way Radio fitted and compatible to area of operation. </t>
  </si>
  <si>
    <t>Jigsaw fitted and operational</t>
  </si>
  <si>
    <t>All Lights working on machine.  Head, Brake, Reverse, Clearance, Tail</t>
  </si>
  <si>
    <t>Machine harnesses secure and condition</t>
  </si>
  <si>
    <t>Seat Belts operational and within manufactures dates</t>
  </si>
  <si>
    <t xml:space="preserve">Horn fitted and operational  </t>
  </si>
  <si>
    <t>Travel Alarm operational</t>
  </si>
  <si>
    <t xml:space="preserve">Windows – clean and serviceable </t>
  </si>
  <si>
    <t>Window wipers operational</t>
  </si>
  <si>
    <t>Air Conditioning operational</t>
  </si>
  <si>
    <t>Gauges &amp; Controls clearly marked &amp; operable</t>
  </si>
  <si>
    <t>Warning System Operational</t>
  </si>
  <si>
    <t>AM/FM/CD Player Secure and Operational</t>
  </si>
  <si>
    <t>Reverse Camera Secure and Operational</t>
  </si>
  <si>
    <t>ROPS / FOPS Cab / Canopy</t>
  </si>
  <si>
    <t>Passengers Protected by Cabin / Canopy</t>
  </si>
  <si>
    <t>Fuel gauge operational</t>
  </si>
  <si>
    <t>Operation and Maintenance Guide in cab</t>
  </si>
  <si>
    <t>Bucket parent metal wear and condition</t>
  </si>
  <si>
    <t>Bucket wear package condition and suitability</t>
  </si>
  <si>
    <t>Bucket lip condition</t>
  </si>
  <si>
    <t>GET condition</t>
  </si>
  <si>
    <t>Inspect for cracks - Bridge, Lip, Cheeks, Adapters, Ears</t>
  </si>
  <si>
    <t>Two Means of Egress</t>
  </si>
  <si>
    <t>Automatic ladder operational and free of damage</t>
  </si>
  <si>
    <t>Other access steps operational, secure and free of damage</t>
  </si>
  <si>
    <t>All handrails secure and clean</t>
  </si>
  <si>
    <t>Non Slip on all walkways and handrails</t>
  </si>
  <si>
    <t>Automatic Ladder Switch/Gauge Operational</t>
  </si>
  <si>
    <t>Automatic Ladder Light Gauge in cab operational</t>
  </si>
  <si>
    <t>Automatic Ladder Isolator Operational</t>
  </si>
  <si>
    <t>General</t>
  </si>
  <si>
    <t>Engine</t>
  </si>
  <si>
    <t>Hydraulics</t>
  </si>
  <si>
    <t>Frame and Body</t>
  </si>
  <si>
    <t>Fire Suppression Equipment</t>
  </si>
  <si>
    <t>Undercarriage</t>
  </si>
  <si>
    <t>Electrical</t>
  </si>
  <si>
    <t>Operator Station</t>
  </si>
  <si>
    <t>Bucket</t>
  </si>
  <si>
    <t>Access / Egress Systems</t>
  </si>
  <si>
    <t>/ 306</t>
  </si>
  <si>
    <t>11. Plant Condition - Dig Unit</t>
  </si>
  <si>
    <t xml:space="preserve">Seats installed and operational   </t>
  </si>
  <si>
    <t>Idle Timer Operational</t>
  </si>
  <si>
    <t>11.1.1</t>
  </si>
  <si>
    <t>11.1.2</t>
  </si>
  <si>
    <t>11.1.3</t>
  </si>
  <si>
    <t>11.1.4</t>
  </si>
  <si>
    <t>11.1.5</t>
  </si>
  <si>
    <t>11.1.6</t>
  </si>
  <si>
    <t>11.1.7</t>
  </si>
  <si>
    <t>11.1.8</t>
  </si>
  <si>
    <t>11.1.9</t>
  </si>
  <si>
    <t>11.1.10</t>
  </si>
  <si>
    <t>11.1.11</t>
  </si>
  <si>
    <t>11.2.1</t>
  </si>
  <si>
    <t>11.2.2</t>
  </si>
  <si>
    <t>11.2.3</t>
  </si>
  <si>
    <t>11.2.4</t>
  </si>
  <si>
    <t>11.2.5</t>
  </si>
  <si>
    <t>11.2.6</t>
  </si>
  <si>
    <t>11.2.7</t>
  </si>
  <si>
    <t>11.2.8</t>
  </si>
  <si>
    <t>11.2.9</t>
  </si>
  <si>
    <t>11.2.10</t>
  </si>
  <si>
    <t>11.2.11</t>
  </si>
  <si>
    <t>11.2.12</t>
  </si>
  <si>
    <t>11.2.13</t>
  </si>
  <si>
    <t>11.2.14</t>
  </si>
  <si>
    <t>11.2.15</t>
  </si>
  <si>
    <t>11.2.16</t>
  </si>
  <si>
    <t>11.2.17</t>
  </si>
  <si>
    <t>11.3.1</t>
  </si>
  <si>
    <t>11.3.2</t>
  </si>
  <si>
    <t>11.3.3</t>
  </si>
  <si>
    <t>11.3.4</t>
  </si>
  <si>
    <t>11.3.5</t>
  </si>
  <si>
    <t>11.3.6</t>
  </si>
  <si>
    <t>11.3.7</t>
  </si>
  <si>
    <t>11.3.8</t>
  </si>
  <si>
    <t>11.3.9</t>
  </si>
  <si>
    <t>11.4.1</t>
  </si>
  <si>
    <t>11.4.2</t>
  </si>
  <si>
    <t>11.4.3</t>
  </si>
  <si>
    <t>11.4.4</t>
  </si>
  <si>
    <t>11.4.5</t>
  </si>
  <si>
    <t>11.4.6</t>
  </si>
  <si>
    <t>11.4.7</t>
  </si>
  <si>
    <t>11.4.8</t>
  </si>
  <si>
    <t>11.4.9</t>
  </si>
  <si>
    <t>11.4.10</t>
  </si>
  <si>
    <t>11.4.11</t>
  </si>
  <si>
    <t>11.4.12</t>
  </si>
  <si>
    <t>11.4.13</t>
  </si>
  <si>
    <t>11.4.14</t>
  </si>
  <si>
    <t>11.4.15</t>
  </si>
  <si>
    <t>11.5.1</t>
  </si>
  <si>
    <t>11.5.2</t>
  </si>
  <si>
    <t>11.5.3</t>
  </si>
  <si>
    <t>11.5.4</t>
  </si>
  <si>
    <t>11.5.5</t>
  </si>
  <si>
    <t>11.5.6</t>
  </si>
  <si>
    <t>11.5.7</t>
  </si>
  <si>
    <t>11.6.1</t>
  </si>
  <si>
    <t>11.6.2</t>
  </si>
  <si>
    <t>11.6.3</t>
  </si>
  <si>
    <t>11.6.4</t>
  </si>
  <si>
    <t>11.6.5</t>
  </si>
  <si>
    <t>11.6.6</t>
  </si>
  <si>
    <t>11.7.1</t>
  </si>
  <si>
    <t>11.7.2</t>
  </si>
  <si>
    <t>11.7.3</t>
  </si>
  <si>
    <t>11.7.4</t>
  </si>
  <si>
    <t>11.7.5</t>
  </si>
  <si>
    <t>11.7.6</t>
  </si>
  <si>
    <t>11.7.7</t>
  </si>
  <si>
    <t>11.7.8</t>
  </si>
  <si>
    <t>11.8.1</t>
  </si>
  <si>
    <t>11.8.2</t>
  </si>
  <si>
    <t>11.8.3</t>
  </si>
  <si>
    <t>11.8.4</t>
  </si>
  <si>
    <t>11.8.5</t>
  </si>
  <si>
    <t>11.8.6</t>
  </si>
  <si>
    <t>11.8.7</t>
  </si>
  <si>
    <t>11.8.8</t>
  </si>
  <si>
    <t>11.8.9</t>
  </si>
  <si>
    <t>11.8.10</t>
  </si>
  <si>
    <t>11.8.11</t>
  </si>
  <si>
    <t>11.8.12</t>
  </si>
  <si>
    <t>11.8.13</t>
  </si>
  <si>
    <t>11.8.14</t>
  </si>
  <si>
    <t>11.8.15</t>
  </si>
  <si>
    <t>11.8.16</t>
  </si>
  <si>
    <t>11.9.1</t>
  </si>
  <si>
    <t>11.9.2</t>
  </si>
  <si>
    <t>11.9.3</t>
  </si>
  <si>
    <t>11.9.4</t>
  </si>
  <si>
    <t>11.9.5</t>
  </si>
  <si>
    <t>11.10.1</t>
  </si>
  <si>
    <t>10.10.2</t>
  </si>
  <si>
    <t>11.10.2</t>
  </si>
  <si>
    <t>10.10.3</t>
  </si>
  <si>
    <t>11.10.3</t>
  </si>
  <si>
    <t>10.10.4</t>
  </si>
  <si>
    <t>11.10.4</t>
  </si>
  <si>
    <t>10.10.5</t>
  </si>
  <si>
    <t>Maintenance Health Assessment - Plant Condition - Haul Unit</t>
  </si>
  <si>
    <t>Hoist cylinder condition and no symptoms of bypass</t>
  </si>
  <si>
    <t>Rear Suspension Struts - No leaks, no damage and pressure is correct</t>
  </si>
  <si>
    <t>Tow Points</t>
  </si>
  <si>
    <t>Chassis – Fatigue and Cracks</t>
  </si>
  <si>
    <t>Fire Suppression System</t>
  </si>
  <si>
    <t>Tread Good, no damage, cuts or separations</t>
  </si>
  <si>
    <t>Suitably Matched Tyres</t>
  </si>
  <si>
    <t xml:space="preserve">Rims In Good Condition                </t>
  </si>
  <si>
    <t>All wheel studs and cleats in place and secure</t>
  </si>
  <si>
    <t>Valve caps in place and tyre pressure as per specifications.</t>
  </si>
  <si>
    <t>Rock deflectors in place, operational and secure</t>
  </si>
  <si>
    <t>Tyres / Rims</t>
  </si>
  <si>
    <t>Electrics</t>
  </si>
  <si>
    <t xml:space="preserve">Seats installed and operational </t>
  </si>
  <si>
    <t>Rear axle housing condition and cracks</t>
  </si>
  <si>
    <t>Transmission / Generator condtion</t>
  </si>
  <si>
    <t>Driveshaft condition</t>
  </si>
  <si>
    <t>Torque convertor / couplings</t>
  </si>
  <si>
    <t>PTO shafts</t>
  </si>
  <si>
    <t>Power Train</t>
  </si>
  <si>
    <t>Access / Egress System</t>
  </si>
  <si>
    <t>Secondary Steering System Operational</t>
  </si>
  <si>
    <t>Steering Tank Secure, Oil in Sight Glass</t>
  </si>
  <si>
    <t xml:space="preserve">All steering assembly components in good condition, operational and lubricated  </t>
  </si>
  <si>
    <t>Steering Accumulators Secure and Operational</t>
  </si>
  <si>
    <t>Steering Column Tilt and Telescopic control operational</t>
  </si>
  <si>
    <t>Brake system operation</t>
  </si>
  <si>
    <t>Brake cabinet leaks and condition</t>
  </si>
  <si>
    <t>Park Brake Release Valve Operational</t>
  </si>
  <si>
    <t>Steering / Brake System</t>
  </si>
  <si>
    <t>/ 324</t>
  </si>
  <si>
    <t>12.1.1</t>
  </si>
  <si>
    <t>12.1.2</t>
  </si>
  <si>
    <t>12.1.3</t>
  </si>
  <si>
    <t>12.1.4</t>
  </si>
  <si>
    <t>12.1.5</t>
  </si>
  <si>
    <t>12.1.6</t>
  </si>
  <si>
    <t>12.1.7</t>
  </si>
  <si>
    <t>12.1.8</t>
  </si>
  <si>
    <t>12.1.9</t>
  </si>
  <si>
    <t>12.1.10</t>
  </si>
  <si>
    <t>12.2.1</t>
  </si>
  <si>
    <t>12.2.2</t>
  </si>
  <si>
    <t>12.2.3</t>
  </si>
  <si>
    <t>12.2.4</t>
  </si>
  <si>
    <t>12.2.5</t>
  </si>
  <si>
    <t>12.2.6</t>
  </si>
  <si>
    <t>12.2.7</t>
  </si>
  <si>
    <t>12.2.8</t>
  </si>
  <si>
    <t>12.2.9</t>
  </si>
  <si>
    <t>12.2.10</t>
  </si>
  <si>
    <t>12.2.11</t>
  </si>
  <si>
    <t>12.2.12</t>
  </si>
  <si>
    <t>12.2.13</t>
  </si>
  <si>
    <t>12.2.14</t>
  </si>
  <si>
    <t>12.2.15</t>
  </si>
  <si>
    <t>12.2.16</t>
  </si>
  <si>
    <t>12.2.17</t>
  </si>
  <si>
    <t>12.3.1</t>
  </si>
  <si>
    <t>12.3.2</t>
  </si>
  <si>
    <t>12.3.3</t>
  </si>
  <si>
    <t>12.3.4</t>
  </si>
  <si>
    <t>12.3.5</t>
  </si>
  <si>
    <t>12.3.6</t>
  </si>
  <si>
    <t>12.3.7</t>
  </si>
  <si>
    <t>12.4.1</t>
  </si>
  <si>
    <t>12.4.2</t>
  </si>
  <si>
    <t>12.4.3</t>
  </si>
  <si>
    <t>12.4.4</t>
  </si>
  <si>
    <t>12.4.5</t>
  </si>
  <si>
    <t>12.4.6</t>
  </si>
  <si>
    <t>12.4.7</t>
  </si>
  <si>
    <t>12.4.8</t>
  </si>
  <si>
    <t>12.4.9</t>
  </si>
  <si>
    <t>12.4.10</t>
  </si>
  <si>
    <t>12.4.11</t>
  </si>
  <si>
    <t>12.4.12</t>
  </si>
  <si>
    <t>12.4.13</t>
  </si>
  <si>
    <t>12.4.14</t>
  </si>
  <si>
    <t>12.4.15</t>
  </si>
  <si>
    <t>12.4.16</t>
  </si>
  <si>
    <t>12.5.1</t>
  </si>
  <si>
    <t>12.5.2</t>
  </si>
  <si>
    <t>12.5.3</t>
  </si>
  <si>
    <t>12.5.4</t>
  </si>
  <si>
    <t>12.5.5</t>
  </si>
  <si>
    <t>12.5.6</t>
  </si>
  <si>
    <t>12.5.7</t>
  </si>
  <si>
    <t>12.6.1</t>
  </si>
  <si>
    <t>12.6.2</t>
  </si>
  <si>
    <t>12.6.3</t>
  </si>
  <si>
    <t>12.6.4</t>
  </si>
  <si>
    <t>12.6.5</t>
  </si>
  <si>
    <t>12.6.6</t>
  </si>
  <si>
    <t>12.7.1</t>
  </si>
  <si>
    <t>12.7.2</t>
  </si>
  <si>
    <t>12.7.3</t>
  </si>
  <si>
    <t>12.7.4</t>
  </si>
  <si>
    <t>12.7.5</t>
  </si>
  <si>
    <t>12.7.6</t>
  </si>
  <si>
    <t>12.7.7</t>
  </si>
  <si>
    <t>12.7.8</t>
  </si>
  <si>
    <t>12.8.1</t>
  </si>
  <si>
    <t>12.8.2</t>
  </si>
  <si>
    <t>12.8.3</t>
  </si>
  <si>
    <t>12.8.4</t>
  </si>
  <si>
    <t>12.8.5</t>
  </si>
  <si>
    <t>12.8.6</t>
  </si>
  <si>
    <t>12.8.7</t>
  </si>
  <si>
    <t>12.8.8</t>
  </si>
  <si>
    <t>12.8.9</t>
  </si>
  <si>
    <t>12.8.10</t>
  </si>
  <si>
    <t>12.8.11</t>
  </si>
  <si>
    <t>12.8.12</t>
  </si>
  <si>
    <t>12.8.13</t>
  </si>
  <si>
    <t>12.8.14</t>
  </si>
  <si>
    <t>12.8.15</t>
  </si>
  <si>
    <t>12.8.16</t>
  </si>
  <si>
    <t>12.9.1</t>
  </si>
  <si>
    <t>12.9.2</t>
  </si>
  <si>
    <t>12.9.3</t>
  </si>
  <si>
    <t>12.9.4</t>
  </si>
  <si>
    <t>12.9.5</t>
  </si>
  <si>
    <t>12.10.1</t>
  </si>
  <si>
    <t>12.10.2</t>
  </si>
  <si>
    <t>12.10.3</t>
  </si>
  <si>
    <t>12.10.4</t>
  </si>
  <si>
    <t>12.10.5</t>
  </si>
  <si>
    <t>12.10.6</t>
  </si>
  <si>
    <t>12.10.7</t>
  </si>
  <si>
    <t>12.10.8</t>
  </si>
  <si>
    <t>12.11.1</t>
  </si>
  <si>
    <t>12.11.2</t>
  </si>
  <si>
    <t>12.11.3</t>
  </si>
  <si>
    <t>12.11.4</t>
  </si>
  <si>
    <t>12.11.5</t>
  </si>
  <si>
    <t>12.11.6</t>
  </si>
  <si>
    <t>12.11.7</t>
  </si>
  <si>
    <t>12.11.8</t>
  </si>
  <si>
    <t>12. Plant Condition - Haul Unit</t>
  </si>
  <si>
    <t>/ 1260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</si>
</sst>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scheme val="minor"/>
    </font>
    <font>
      <sz val="11"/>
      <color theme="1" tint="0.24994659260841701"/>
      <name val="Calibri Light"/>
      <family val="2"/>
      <scheme val="major"/>
    </font>
    <font>
      <b/>
      <sz val="13"/>
      <color theme="7"/>
      <name val="Calibri Light"/>
      <family val="2"/>
      <scheme val="major"/>
    </font>
    <font>
      <b/>
      <sz val="13"/>
      <color theme="1" tint="0.24994659260841701"/>
      <name val="Calibri Light"/>
      <family val="2"/>
      <scheme val="major"/>
    </font>
    <font>
      <b/>
      <sz val="9.5"/>
      <color theme="1" tint="0.499984740745262"/>
      <name val="Calibri"/>
      <family val="2"/>
      <scheme val="minor"/>
    </font>
    <font>
      <b/>
      <sz val="42"/>
      <color theme="7"/>
      <name val="Calibri Light"/>
      <family val="2"/>
      <scheme val="major"/>
    </font>
    <font>
      <sz val="14"/>
      <color theme="1" tint="0.24994659260841701"/>
      <name val="Calibri"/>
      <family val="2"/>
      <scheme val="minor"/>
    </font>
    <font>
      <b/>
      <sz val="11"/>
      <color theme="1" tint="0.24994659260841701"/>
      <name val="Calibri"/>
      <family val="2"/>
      <scheme val="minor"/>
    </font>
    <font>
      <sz val="10"/>
      <name val="Arial"/>
      <family val="2"/>
    </font>
    <font>
      <b/>
      <sz val="11"/>
      <color theme="0"/>
      <name val="Calibri"/>
      <family val="2"/>
      <scheme val="minor"/>
    </font>
    <font>
      <sz val="11"/>
      <name val="Calibri"/>
      <family val="2"/>
      <scheme val="minor"/>
    </font>
    <font>
      <sz val="11"/>
      <color theme="1"/>
      <name val="Calibri"/>
      <family val="2"/>
      <scheme val="minor"/>
    </font>
    <font>
      <sz val="11"/>
      <color rgb="FF3F3F76"/>
      <name val="Calibri"/>
      <family val="2"/>
      <scheme val="minor"/>
    </font>
    <font>
      <b/>
      <sz val="11"/>
      <color theme="1"/>
      <name val="Calibri"/>
      <family val="2"/>
      <scheme val="minor"/>
    </font>
    <font>
      <sz val="11"/>
      <color theme="0"/>
      <name val="Calibri"/>
      <family val="2"/>
      <scheme val="minor"/>
    </font>
    <font>
      <b/>
      <sz val="18"/>
      <color theme="1"/>
      <name val="Calibri"/>
      <family val="2"/>
      <scheme val="minor"/>
    </font>
    <font>
      <b/>
      <sz val="11"/>
      <name val="Calibri"/>
      <family val="2"/>
      <scheme val="minor"/>
    </font>
    <font>
      <sz val="11"/>
      <color theme="1"/>
      <name val="Marlett"/>
      <charset val="2"/>
    </font>
    <font>
      <b/>
      <sz val="11"/>
      <color rgb="FF3F3F76"/>
      <name val="Calibri"/>
      <family val="2"/>
      <scheme val="minor"/>
    </font>
    <font>
      <b/>
      <sz val="14"/>
      <color theme="1"/>
      <name val="Calibri"/>
      <family val="2"/>
      <scheme val="minor"/>
    </font>
    <font>
      <b/>
      <sz val="22"/>
      <color theme="1"/>
      <name val="Calibri"/>
      <family val="2"/>
      <scheme val="minor"/>
    </font>
  </fonts>
  <fills count="7">
    <fill>
      <patternFill patternType="none"/>
    </fill>
    <fill>
      <patternFill patternType="gray125"/>
    </fill>
    <fill>
      <patternFill patternType="solid">
        <fgColor theme="9" tint="0.59996337778862885"/>
        <bgColor indexed="64"/>
      </patternFill>
    </fill>
    <fill>
      <patternFill patternType="solid">
        <fgColor theme="4"/>
        <bgColor theme="4"/>
      </patternFill>
    </fill>
    <fill>
      <patternFill patternType="solid">
        <fgColor rgb="FFFFCC99"/>
      </patternFill>
    </fill>
    <fill>
      <patternFill patternType="solid">
        <fgColor theme="0" tint="-0.34998626667073579"/>
        <bgColor indexed="64"/>
      </patternFill>
    </fill>
    <fill>
      <patternFill patternType="solid">
        <fgColor theme="0"/>
        <bgColor indexed="64"/>
      </patternFill>
    </fill>
  </fills>
  <borders count="54">
    <border>
      <left/>
      <right/>
      <top/>
      <bottom/>
      <diagonal/>
    </border>
    <border>
      <left/>
      <right/>
      <top/>
      <bottom style="thin">
        <color theme="7"/>
      </bottom>
      <diagonal/>
    </border>
    <border>
      <left/>
      <right/>
      <top style="thin">
        <color theme="9" tint="-0.24994659260841701"/>
      </top>
      <bottom style="thin">
        <color theme="9" tint="-0.24994659260841701"/>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rgb="FF7F7F7F"/>
      </left>
      <right style="thin">
        <color rgb="FF7F7F7F"/>
      </right>
      <top style="thin">
        <color rgb="FF7F7F7F"/>
      </top>
      <bottom style="thin">
        <color rgb="FF7F7F7F"/>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right/>
      <top style="thin">
        <color indexed="64"/>
      </top>
      <bottom style="thin">
        <color indexed="64"/>
      </bottom>
      <diagonal/>
    </border>
    <border>
      <left style="thin">
        <color rgb="FF7F7F7F"/>
      </left>
      <right/>
      <top style="thin">
        <color rgb="FF7F7F7F"/>
      </top>
      <bottom style="thin">
        <color rgb="FF7F7F7F"/>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auto="1"/>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rgb="FF7F7F7F"/>
      </left>
      <right/>
      <top style="thin">
        <color rgb="FF7F7F7F"/>
      </top>
      <bottom/>
      <diagonal/>
    </border>
    <border>
      <left style="thin">
        <color rgb="FF7F7F7F"/>
      </left>
      <right style="thin">
        <color indexed="64"/>
      </right>
      <top style="thin">
        <color rgb="FF7F7F7F"/>
      </top>
      <bottom style="thin">
        <color rgb="FF7F7F7F"/>
      </bottom>
      <diagonal/>
    </border>
  </borders>
  <cellStyleXfs count="12">
    <xf numFmtId="0" fontId="0" fillId="0" borderId="0"/>
    <xf numFmtId="0" fontId="1" fillId="0" borderId="0" applyNumberFormat="0" applyFill="0" applyBorder="0" applyProtection="0">
      <alignment vertical="center"/>
    </xf>
    <xf numFmtId="9" fontId="2" fillId="0" borderId="0" applyFill="0" applyBorder="0" applyProtection="0">
      <alignment horizontal="center" vertical="center"/>
    </xf>
    <xf numFmtId="0" fontId="3" fillId="0" borderId="0" applyFill="0" applyBorder="0" applyProtection="0">
      <alignment horizontal="left"/>
    </xf>
    <xf numFmtId="3" fontId="4" fillId="0" borderId="1" applyFill="0" applyProtection="0">
      <alignment horizontal="center"/>
    </xf>
    <xf numFmtId="0" fontId="4" fillId="0" borderId="0" applyFill="0" applyBorder="0" applyProtection="0">
      <alignment horizontal="center"/>
    </xf>
    <xf numFmtId="0" fontId="5" fillId="0" borderId="0" applyNumberFormat="0" applyFill="0" applyBorder="0" applyAlignment="0" applyProtection="0"/>
    <xf numFmtId="0" fontId="6" fillId="0" borderId="0" applyNumberFormat="0" applyFill="0" applyBorder="0" applyProtection="0">
      <alignment horizontal="left" vertical="center"/>
    </xf>
    <xf numFmtId="0" fontId="7" fillId="2" borderId="2" applyNumberFormat="0" applyProtection="0">
      <alignment horizontal="left" vertical="center"/>
    </xf>
    <xf numFmtId="0" fontId="8" fillId="0" borderId="0"/>
    <xf numFmtId="9" fontId="11" fillId="0" borderId="0" applyFont="0" applyFill="0" applyBorder="0" applyAlignment="0" applyProtection="0"/>
    <xf numFmtId="0" fontId="12" fillId="4" borderId="13" applyNumberFormat="0" applyAlignment="0" applyProtection="0"/>
  </cellStyleXfs>
  <cellXfs count="219">
    <xf numFmtId="0" fontId="0" fillId="0" borderId="0" xfId="0"/>
    <xf numFmtId="0" fontId="0" fillId="0" borderId="0" xfId="0" applyAlignment="1">
      <alignment vertical="center" wrapText="1"/>
    </xf>
    <xf numFmtId="0" fontId="0" fillId="0" borderId="0" xfId="0" applyAlignment="1">
      <alignment horizontal="center" vertical="center"/>
    </xf>
    <xf numFmtId="0" fontId="0" fillId="0" borderId="0" xfId="0" applyAlignment="1">
      <alignment horizontal="center" vertical="center"/>
    </xf>
    <xf numFmtId="16" fontId="0" fillId="0" borderId="0" xfId="0" applyNumberFormat="1"/>
    <xf numFmtId="0" fontId="0" fillId="0" borderId="5" xfId="0" applyBorder="1" applyAlignment="1">
      <alignment vertical="center"/>
    </xf>
    <xf numFmtId="0" fontId="0" fillId="0" borderId="6" xfId="0" applyBorder="1" applyAlignment="1">
      <alignment vertical="center"/>
    </xf>
    <xf numFmtId="0" fontId="0" fillId="0" borderId="3" xfId="0" applyBorder="1" applyAlignment="1">
      <alignment vertical="center" wrapText="1"/>
    </xf>
    <xf numFmtId="0" fontId="0" fillId="0" borderId="3" xfId="0" applyBorder="1" applyAlignment="1">
      <alignment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10" xfId="0" applyBorder="1" applyAlignment="1">
      <alignment horizontal="center" vertical="center"/>
    </xf>
    <xf numFmtId="0" fontId="0" fillId="0" borderId="3" xfId="0" applyBorder="1" applyAlignment="1">
      <alignment horizontal="left" vertical="center" wrapText="1"/>
    </xf>
    <xf numFmtId="0" fontId="0" fillId="0" borderId="0" xfId="0" applyAlignment="1">
      <alignment horizontal="center" vertical="center" textRotation="180" wrapText="1"/>
    </xf>
    <xf numFmtId="0" fontId="0" fillId="0" borderId="3" xfId="0" applyBorder="1" applyAlignment="1">
      <alignment horizontal="left"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vertical="center" wrapText="1"/>
    </xf>
    <xf numFmtId="0" fontId="9" fillId="3" borderId="5" xfId="0" applyFont="1" applyFill="1" applyBorder="1" applyAlignment="1">
      <alignment vertical="center"/>
    </xf>
    <xf numFmtId="0" fontId="0" fillId="0" borderId="3" xfId="0" quotePrefix="1" applyBorder="1" applyAlignment="1">
      <alignment horizontal="left" vertical="center" wrapText="1"/>
    </xf>
    <xf numFmtId="0" fontId="0" fillId="0" borderId="3" xfId="0" quotePrefix="1" applyBorder="1" applyAlignment="1">
      <alignment horizontal="left" vertical="center"/>
    </xf>
    <xf numFmtId="0" fontId="0" fillId="0" borderId="0" xfId="0" applyAlignment="1">
      <alignment horizontal="left" vertical="center"/>
    </xf>
    <xf numFmtId="0" fontId="0" fillId="0" borderId="3" xfId="0" applyFont="1" applyFill="1" applyBorder="1" applyAlignment="1">
      <alignment vertical="center" wrapText="1"/>
    </xf>
    <xf numFmtId="0" fontId="0" fillId="0" borderId="0" xfId="0" applyAlignment="1">
      <alignment textRotation="180"/>
    </xf>
    <xf numFmtId="0" fontId="0" fillId="0" borderId="0" xfId="0" applyAlignment="1">
      <alignment vertical="center" textRotation="180" wrapText="1"/>
    </xf>
    <xf numFmtId="0" fontId="0" fillId="0" borderId="0" xfId="0" applyAlignment="1">
      <alignment wrapText="1"/>
    </xf>
    <xf numFmtId="0" fontId="0" fillId="0" borderId="0" xfId="0" applyAlignment="1">
      <alignment vertical="center"/>
    </xf>
    <xf numFmtId="0" fontId="0" fillId="0" borderId="10" xfId="0" applyBorder="1" applyAlignment="1">
      <alignment wrapText="1"/>
    </xf>
    <xf numFmtId="0" fontId="0" fillId="0" borderId="5" xfId="0" applyFont="1" applyFill="1" applyBorder="1" applyAlignment="1">
      <alignment vertical="center" wrapText="1"/>
    </xf>
    <xf numFmtId="0" fontId="0" fillId="0" borderId="10" xfId="0" applyFont="1" applyFill="1" applyBorder="1" applyAlignment="1">
      <alignment vertical="center" wrapText="1"/>
    </xf>
    <xf numFmtId="0" fontId="0" fillId="0" borderId="10" xfId="0" applyBorder="1" applyAlignment="1">
      <alignment horizontal="left" vertical="center"/>
    </xf>
    <xf numFmtId="0" fontId="0" fillId="0" borderId="14" xfId="0" applyBorder="1"/>
    <xf numFmtId="0" fontId="10" fillId="0" borderId="3" xfId="0" applyFont="1" applyBorder="1" applyAlignment="1">
      <alignment horizontal="left" vertical="center" wrapText="1"/>
    </xf>
    <xf numFmtId="0" fontId="13" fillId="0" borderId="7" xfId="0" applyFont="1" applyBorder="1" applyAlignment="1">
      <alignment horizontal="center" vertical="center"/>
    </xf>
    <xf numFmtId="0" fontId="13" fillId="0" borderId="9" xfId="0" applyFont="1" applyBorder="1" applyAlignment="1">
      <alignment horizontal="center" vertical="center"/>
    </xf>
    <xf numFmtId="0" fontId="0" fillId="0" borderId="5" xfId="0" applyBorder="1" applyAlignment="1">
      <alignment horizontal="left" vertical="center"/>
    </xf>
    <xf numFmtId="0" fontId="13" fillId="0" borderId="0" xfId="0" applyFont="1" applyAlignment="1">
      <alignment horizontal="right" vertical="center"/>
    </xf>
    <xf numFmtId="0" fontId="13" fillId="0" borderId="7" xfId="0" applyFont="1" applyBorder="1" applyAlignment="1">
      <alignment horizontal="center" vertical="center" wrapText="1"/>
    </xf>
    <xf numFmtId="0" fontId="0" fillId="0" borderId="0" xfId="0" applyBorder="1" applyAlignment="1">
      <alignment horizontal="left" vertical="center" wrapText="1"/>
    </xf>
    <xf numFmtId="0" fontId="13" fillId="0" borderId="0" xfId="0" applyFont="1" applyAlignment="1">
      <alignment horizontal="right"/>
    </xf>
    <xf numFmtId="0" fontId="13" fillId="0" borderId="0" xfId="0" quotePrefix="1" applyFont="1" applyAlignment="1">
      <alignment horizontal="left" vertical="center"/>
    </xf>
    <xf numFmtId="0" fontId="17" fillId="0" borderId="3" xfId="0" applyFont="1" applyBorder="1" applyAlignment="1">
      <alignment horizontal="center" vertical="center" wrapText="1"/>
    </xf>
    <xf numFmtId="0" fontId="17" fillId="0" borderId="3" xfId="0" applyFont="1" applyBorder="1" applyAlignment="1">
      <alignment horizontal="center" vertical="center"/>
    </xf>
    <xf numFmtId="0" fontId="17" fillId="0" borderId="10" xfId="0" applyFont="1" applyBorder="1" applyAlignment="1">
      <alignment horizontal="center" vertical="center"/>
    </xf>
    <xf numFmtId="0" fontId="17" fillId="5" borderId="8" xfId="0" applyFont="1" applyFill="1" applyBorder="1" applyAlignment="1">
      <alignment horizontal="center" vertical="center" wrapText="1"/>
    </xf>
    <xf numFmtId="0" fontId="17" fillId="5" borderId="44" xfId="0" applyFont="1" applyFill="1" applyBorder="1" applyAlignment="1">
      <alignment horizontal="center" vertical="center" wrapText="1"/>
    </xf>
    <xf numFmtId="0" fontId="18" fillId="4" borderId="13" xfId="11" applyFont="1" applyAlignment="1" applyProtection="1">
      <alignment horizontal="center" vertical="center" wrapText="1"/>
      <protection locked="0"/>
    </xf>
    <xf numFmtId="0" fontId="0" fillId="0" borderId="0" xfId="0" applyAlignment="1" applyProtection="1">
      <alignment vertical="center" textRotation="180" wrapText="1"/>
    </xf>
    <xf numFmtId="0" fontId="0" fillId="0" borderId="0" xfId="0" applyProtection="1"/>
    <xf numFmtId="0" fontId="0" fillId="0" borderId="0" xfId="0" applyAlignment="1" applyProtection="1">
      <alignment horizontal="left" vertical="center"/>
    </xf>
    <xf numFmtId="0" fontId="0" fillId="0" borderId="4" xfId="0" applyBorder="1" applyAlignment="1" applyProtection="1">
      <alignment horizontal="center" vertical="center"/>
    </xf>
    <xf numFmtId="0" fontId="0" fillId="0" borderId="5" xfId="0" applyBorder="1" applyAlignment="1" applyProtection="1">
      <alignment horizontal="left" vertical="center"/>
    </xf>
    <xf numFmtId="0" fontId="0" fillId="0" borderId="5" xfId="0" applyBorder="1" applyAlignment="1" applyProtection="1">
      <alignment horizontal="center" vertical="center"/>
    </xf>
    <xf numFmtId="0" fontId="13" fillId="0" borderId="7" xfId="0" applyFont="1" applyBorder="1" applyAlignment="1" applyProtection="1">
      <alignment horizontal="center" vertical="center"/>
    </xf>
    <xf numFmtId="0" fontId="10" fillId="0" borderId="3" xfId="0" applyFont="1" applyFill="1" applyBorder="1" applyAlignment="1" applyProtection="1">
      <alignment horizontal="left" vertical="center" wrapText="1"/>
    </xf>
    <xf numFmtId="0" fontId="17" fillId="0" borderId="3" xfId="0" applyFont="1" applyBorder="1" applyAlignment="1" applyProtection="1">
      <alignment horizontal="center" vertical="center" wrapText="1"/>
    </xf>
    <xf numFmtId="0" fontId="0" fillId="0" borderId="0" xfId="0" applyAlignment="1" applyProtection="1">
      <alignment wrapText="1"/>
    </xf>
    <xf numFmtId="0" fontId="0" fillId="0" borderId="3" xfId="0" applyFont="1" applyBorder="1" applyAlignment="1" applyProtection="1">
      <alignment horizontal="center" vertical="center" wrapText="1"/>
    </xf>
    <xf numFmtId="0" fontId="0" fillId="0" borderId="5" xfId="0" applyFont="1" applyBorder="1" applyAlignment="1" applyProtection="1">
      <alignment horizontal="center" vertical="center" wrapText="1"/>
    </xf>
    <xf numFmtId="0" fontId="13" fillId="0" borderId="9" xfId="0" applyFont="1" applyBorder="1" applyAlignment="1" applyProtection="1">
      <alignment horizontal="center" vertical="center"/>
    </xf>
    <xf numFmtId="0" fontId="10" fillId="0" borderId="10" xfId="0" applyFont="1" applyFill="1" applyBorder="1" applyAlignment="1" applyProtection="1">
      <alignment horizontal="left" vertical="center" wrapText="1"/>
    </xf>
    <xf numFmtId="0" fontId="13" fillId="6" borderId="0" xfId="0" applyFont="1" applyFill="1" applyBorder="1" applyAlignment="1" applyProtection="1">
      <alignment horizontal="center" vertical="center"/>
    </xf>
    <xf numFmtId="0" fontId="0" fillId="6" borderId="0" xfId="0" applyFill="1" applyBorder="1" applyProtection="1"/>
    <xf numFmtId="0" fontId="13" fillId="0" borderId="24" xfId="0" applyFont="1" applyBorder="1" applyAlignment="1" applyProtection="1"/>
    <xf numFmtId="0" fontId="13" fillId="0" borderId="24" xfId="0" quotePrefix="1" applyFont="1" applyBorder="1" applyAlignment="1" applyProtection="1"/>
    <xf numFmtId="0" fontId="0" fillId="0" borderId="4" xfId="0" applyFont="1" applyBorder="1" applyAlignment="1">
      <alignment horizontal="center" vertical="center"/>
    </xf>
    <xf numFmtId="0" fontId="13" fillId="0" borderId="9" xfId="0" applyFont="1" applyBorder="1" applyAlignment="1">
      <alignment horizontal="center" vertical="center" wrapText="1"/>
    </xf>
    <xf numFmtId="0" fontId="18" fillId="4" borderId="45" xfId="11" applyFont="1" applyBorder="1" applyAlignment="1" applyProtection="1">
      <alignment horizontal="center" vertical="center" wrapText="1"/>
      <protection locked="0"/>
    </xf>
    <xf numFmtId="0" fontId="0" fillId="0" borderId="44" xfId="0" applyBorder="1" applyAlignment="1" applyProtection="1">
      <alignment horizontal="center" vertical="center" wrapText="1"/>
    </xf>
    <xf numFmtId="0" fontId="0" fillId="0" borderId="44" xfId="0" applyBorder="1" applyProtection="1"/>
    <xf numFmtId="0" fontId="0" fillId="0" borderId="14" xfId="0" applyBorder="1" applyProtection="1"/>
    <xf numFmtId="0" fontId="17" fillId="0" borderId="19" xfId="0" applyFont="1" applyBorder="1" applyAlignment="1" applyProtection="1">
      <alignment horizontal="center" vertical="center" wrapText="1"/>
    </xf>
    <xf numFmtId="0" fontId="17" fillId="0" borderId="20" xfId="0" applyFont="1" applyBorder="1" applyAlignment="1" applyProtection="1">
      <alignment horizontal="center" vertical="center" wrapText="1"/>
    </xf>
    <xf numFmtId="0" fontId="17" fillId="0" borderId="47" xfId="0" applyFont="1" applyBorder="1" applyAlignment="1" applyProtection="1">
      <alignment horizontal="center" vertical="center" wrapText="1"/>
    </xf>
    <xf numFmtId="0" fontId="17" fillId="0" borderId="26" xfId="0" applyFont="1" applyBorder="1" applyAlignment="1" applyProtection="1">
      <alignment horizontal="center" vertical="center" wrapText="1"/>
    </xf>
    <xf numFmtId="0" fontId="17" fillId="0" borderId="48" xfId="0" applyFont="1" applyBorder="1" applyAlignment="1" applyProtection="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0" fillId="0" borderId="6" xfId="0" applyBorder="1" applyAlignment="1" applyProtection="1">
      <alignment horizontal="center" vertical="center"/>
    </xf>
    <xf numFmtId="0" fontId="0" fillId="0" borderId="15" xfId="0" applyBorder="1" applyAlignment="1" applyProtection="1">
      <alignment horizontal="left" vertical="center"/>
    </xf>
    <xf numFmtId="0" fontId="0" fillId="0" borderId="27" xfId="0" applyBorder="1" applyAlignment="1" applyProtection="1">
      <alignment horizontal="center" vertical="center"/>
    </xf>
    <xf numFmtId="0" fontId="0" fillId="0" borderId="28" xfId="0" applyBorder="1" applyAlignment="1" applyProtection="1">
      <alignment horizontal="center" vertical="center"/>
    </xf>
    <xf numFmtId="0" fontId="18" fillId="4" borderId="45" xfId="11" quotePrefix="1" applyFont="1" applyBorder="1" applyAlignment="1" applyProtection="1">
      <alignment horizontal="center" vertical="center"/>
      <protection locked="0"/>
    </xf>
    <xf numFmtId="0" fontId="18" fillId="4" borderId="45" xfId="11" quotePrefix="1" applyFont="1" applyBorder="1" applyAlignment="1" applyProtection="1">
      <alignment horizontal="center" vertical="center" wrapText="1"/>
      <protection locked="0"/>
    </xf>
    <xf numFmtId="0" fontId="18" fillId="4" borderId="45" xfId="11" applyFont="1" applyBorder="1" applyAlignment="1" applyProtection="1">
      <alignment horizontal="center" vertical="center"/>
      <protection locked="0"/>
    </xf>
    <xf numFmtId="0" fontId="0" fillId="0" borderId="15" xfId="0" applyBorder="1" applyAlignment="1">
      <alignment vertical="center"/>
    </xf>
    <xf numFmtId="0" fontId="0" fillId="0" borderId="44" xfId="0" applyBorder="1"/>
    <xf numFmtId="0" fontId="0" fillId="0" borderId="27" xfId="0" applyBorder="1" applyAlignment="1">
      <alignment horizontal="center" vertical="center"/>
    </xf>
    <xf numFmtId="0" fontId="0" fillId="0" borderId="28" xfId="0" applyBorder="1" applyAlignment="1">
      <alignment horizontal="center" vertical="center"/>
    </xf>
    <xf numFmtId="0" fontId="17" fillId="0" borderId="19" xfId="0" applyFont="1" applyBorder="1" applyAlignment="1">
      <alignment horizontal="center" vertical="center"/>
    </xf>
    <xf numFmtId="0" fontId="17" fillId="0" borderId="20" xfId="0" applyFont="1" applyBorder="1" applyAlignment="1">
      <alignment horizontal="center" vertical="center"/>
    </xf>
    <xf numFmtId="0" fontId="17" fillId="5" borderId="46" xfId="0" applyFont="1" applyFill="1" applyBorder="1" applyAlignment="1">
      <alignment horizontal="center" vertical="center" wrapText="1"/>
    </xf>
    <xf numFmtId="0" fontId="17" fillId="0" borderId="21" xfId="0" applyFont="1" applyBorder="1" applyAlignment="1">
      <alignment horizontal="center" vertical="center"/>
    </xf>
    <xf numFmtId="0" fontId="17" fillId="0" borderId="22" xfId="0" applyFont="1" applyBorder="1" applyAlignment="1">
      <alignment horizontal="center" vertical="center"/>
    </xf>
    <xf numFmtId="0" fontId="17" fillId="0" borderId="23" xfId="0" applyFont="1" applyBorder="1" applyAlignment="1">
      <alignment horizontal="center" vertical="center"/>
    </xf>
    <xf numFmtId="0" fontId="0" fillId="0" borderId="15" xfId="0" applyBorder="1" applyAlignment="1">
      <alignment horizontal="left" vertical="center"/>
    </xf>
    <xf numFmtId="0" fontId="0" fillId="0" borderId="44" xfId="0" applyBorder="1" applyAlignment="1">
      <alignment vertical="center" wrapText="1"/>
    </xf>
    <xf numFmtId="0" fontId="0" fillId="0" borderId="14" xfId="0" applyBorder="1" applyAlignment="1">
      <alignment vertical="center" wrapText="1"/>
    </xf>
    <xf numFmtId="0" fontId="17" fillId="0" borderId="50"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51" xfId="0" applyFont="1" applyBorder="1" applyAlignment="1">
      <alignment horizontal="center" vertical="center" wrapText="1"/>
    </xf>
    <xf numFmtId="0" fontId="13" fillId="0" borderId="0" xfId="0" applyFont="1"/>
    <xf numFmtId="0" fontId="13" fillId="0" borderId="32" xfId="0" applyFont="1" applyBorder="1" applyAlignment="1">
      <alignment horizontal="center" vertical="center"/>
    </xf>
    <xf numFmtId="0" fontId="13" fillId="0" borderId="33" xfId="0" applyFont="1" applyBorder="1" applyAlignment="1">
      <alignment horizontal="center" vertical="center"/>
    </xf>
    <xf numFmtId="0" fontId="13" fillId="0" borderId="34" xfId="0" applyFont="1" applyBorder="1" applyAlignment="1">
      <alignment horizontal="center" vertical="center"/>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3" xfId="0" applyFont="1" applyBorder="1" applyAlignment="1">
      <alignment horizontal="center" vertical="center"/>
    </xf>
    <xf numFmtId="0" fontId="13" fillId="0" borderId="0" xfId="0" quotePrefix="1" applyFont="1"/>
    <xf numFmtId="0" fontId="17" fillId="0" borderId="49" xfId="0" applyFont="1" applyBorder="1" applyAlignment="1">
      <alignment horizontal="center" vertical="center" wrapText="1"/>
    </xf>
    <xf numFmtId="0" fontId="0" fillId="0" borderId="44" xfId="0" applyBorder="1" applyAlignment="1">
      <alignment vertical="center"/>
    </xf>
    <xf numFmtId="0" fontId="0" fillId="0" borderId="14" xfId="0" applyBorder="1" applyAlignment="1">
      <alignment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9" fillId="3" borderId="16" xfId="0" applyFont="1" applyFill="1" applyBorder="1" applyAlignment="1">
      <alignment horizontal="center" vertical="center"/>
    </xf>
    <xf numFmtId="0" fontId="9" fillId="3" borderId="17" xfId="0" applyFont="1" applyFill="1" applyBorder="1" applyAlignment="1">
      <alignment horizontal="center" vertical="center"/>
    </xf>
    <xf numFmtId="0" fontId="9" fillId="3" borderId="18" xfId="0" applyFont="1" applyFill="1" applyBorder="1" applyAlignment="1">
      <alignment horizontal="center" vertical="center"/>
    </xf>
    <xf numFmtId="0" fontId="13" fillId="0" borderId="38" xfId="0" applyFont="1" applyBorder="1" applyAlignment="1" applyProtection="1">
      <alignment horizontal="center" vertical="center"/>
    </xf>
    <xf numFmtId="0" fontId="13" fillId="0" borderId="39" xfId="0" applyFont="1" applyBorder="1" applyAlignment="1" applyProtection="1">
      <alignment horizontal="center" vertical="center"/>
    </xf>
    <xf numFmtId="0" fontId="13" fillId="0" borderId="40" xfId="0" applyFont="1" applyBorder="1" applyAlignment="1" applyProtection="1">
      <alignment horizontal="center" vertical="center"/>
    </xf>
    <xf numFmtId="0" fontId="13" fillId="0" borderId="41" xfId="0" applyFont="1" applyBorder="1" applyAlignment="1" applyProtection="1">
      <alignment horizontal="center" vertical="center"/>
    </xf>
    <xf numFmtId="0" fontId="13" fillId="0" borderId="42" xfId="0" applyFont="1" applyBorder="1" applyAlignment="1" applyProtection="1">
      <alignment horizontal="center" vertical="center"/>
    </xf>
    <xf numFmtId="0" fontId="13" fillId="0" borderId="43" xfId="0" applyFont="1" applyBorder="1" applyAlignment="1" applyProtection="1">
      <alignment horizontal="center" vertical="center"/>
    </xf>
    <xf numFmtId="0" fontId="13" fillId="0" borderId="38"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horizontal="center" vertical="center"/>
    </xf>
    <xf numFmtId="0" fontId="13" fillId="6" borderId="35" xfId="0" applyFont="1" applyFill="1" applyBorder="1" applyAlignment="1" applyProtection="1">
      <alignment horizontal="center"/>
    </xf>
    <xf numFmtId="0" fontId="13" fillId="6" borderId="36" xfId="0" applyFont="1" applyFill="1" applyBorder="1" applyAlignment="1" applyProtection="1">
      <alignment horizontal="center"/>
    </xf>
    <xf numFmtId="0" fontId="13" fillId="6" borderId="37" xfId="0" applyFont="1" applyFill="1" applyBorder="1" applyAlignment="1" applyProtection="1">
      <alignment horizontal="center"/>
    </xf>
    <xf numFmtId="0" fontId="13" fillId="6" borderId="29" xfId="0" applyFont="1" applyFill="1" applyBorder="1" applyAlignment="1" applyProtection="1">
      <alignment horizontal="center"/>
    </xf>
    <xf numFmtId="0" fontId="13" fillId="6" borderId="30" xfId="0" applyFont="1" applyFill="1" applyBorder="1" applyAlignment="1" applyProtection="1">
      <alignment horizontal="center"/>
    </xf>
    <xf numFmtId="0" fontId="13" fillId="6" borderId="31" xfId="0" applyFont="1" applyFill="1" applyBorder="1" applyAlignment="1" applyProtection="1">
      <alignment horizontal="center"/>
    </xf>
    <xf numFmtId="0" fontId="17" fillId="0" borderId="8" xfId="0" applyFont="1" applyBorder="1" applyAlignment="1">
      <alignment horizontal="center" vertical="center"/>
    </xf>
    <xf numFmtId="0" fontId="0" fillId="0" borderId="5" xfId="0" applyBorder="1" applyAlignment="1">
      <alignment horizontal="left" vertical="center" wrapText="1"/>
    </xf>
    <xf numFmtId="0" fontId="0" fillId="0" borderId="6" xfId="0" applyBorder="1" applyAlignment="1">
      <alignment horizontal="center" vertical="center" wrapText="1"/>
    </xf>
    <xf numFmtId="0" fontId="0" fillId="0" borderId="0" xfId="0" applyAlignment="1">
      <alignment horizontal="right" wrapText="1"/>
    </xf>
    <xf numFmtId="0" fontId="13" fillId="0" borderId="38" xfId="0" applyFont="1" applyBorder="1" applyAlignment="1">
      <alignment horizontal="center"/>
    </xf>
    <xf numFmtId="0" fontId="13" fillId="0" borderId="39" xfId="0" applyFont="1" applyBorder="1" applyAlignment="1">
      <alignment horizontal="center"/>
    </xf>
    <xf numFmtId="0" fontId="13" fillId="0" borderId="40" xfId="0" applyFont="1" applyBorder="1" applyAlignment="1">
      <alignment horizontal="center"/>
    </xf>
    <xf numFmtId="0" fontId="13" fillId="0" borderId="41" xfId="0" applyFont="1" applyBorder="1" applyAlignment="1">
      <alignment horizontal="center"/>
    </xf>
    <xf numFmtId="0" fontId="13" fillId="0" borderId="42" xfId="0" applyFont="1" applyBorder="1" applyAlignment="1">
      <alignment horizontal="center"/>
    </xf>
    <xf numFmtId="0" fontId="13" fillId="0" borderId="43" xfId="0" applyFont="1" applyBorder="1" applyAlignment="1">
      <alignment horizontal="center"/>
    </xf>
    <xf numFmtId="0" fontId="18" fillId="4" borderId="52" xfId="11" applyFont="1" applyBorder="1" applyAlignment="1" applyProtection="1">
      <alignment horizontal="center" vertical="center"/>
      <protection locked="0"/>
    </xf>
    <xf numFmtId="0" fontId="18" fillId="4" borderId="52" xfId="11" applyFont="1" applyBorder="1" applyAlignment="1" applyProtection="1">
      <alignment horizontal="center" vertical="center" wrapText="1"/>
      <protection locked="0"/>
    </xf>
    <xf numFmtId="0" fontId="0" fillId="0" borderId="3" xfId="0" applyFont="1" applyFill="1" applyBorder="1" applyAlignment="1">
      <alignment horizontal="left" vertical="center" wrapText="1"/>
    </xf>
    <xf numFmtId="0" fontId="0" fillId="0" borderId="44" xfId="0" applyBorder="1" applyAlignment="1">
      <alignment horizontal="left" vertical="center" wrapText="1"/>
    </xf>
    <xf numFmtId="0" fontId="0" fillId="0" borderId="10" xfId="0" applyFont="1" applyFill="1" applyBorder="1" applyAlignment="1">
      <alignment horizontal="left" vertical="center" wrapText="1"/>
    </xf>
    <xf numFmtId="0" fontId="0" fillId="0" borderId="14" xfId="0" applyBorder="1" applyAlignment="1">
      <alignment horizontal="left" vertical="center" wrapText="1"/>
    </xf>
    <xf numFmtId="0" fontId="17" fillId="0" borderId="3" xfId="0" applyFont="1" applyFill="1" applyBorder="1" applyAlignment="1">
      <alignment horizontal="center" vertical="center" wrapText="1"/>
    </xf>
    <xf numFmtId="0" fontId="9" fillId="3" borderId="4" xfId="0" applyFont="1" applyFill="1" applyBorder="1" applyAlignment="1">
      <alignment horizontal="center" vertical="center"/>
    </xf>
    <xf numFmtId="0" fontId="13" fillId="0" borderId="7"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9" fillId="3" borderId="6" xfId="0" applyFont="1" applyFill="1" applyBorder="1" applyAlignment="1">
      <alignment horizontal="center" vertical="center"/>
    </xf>
    <xf numFmtId="0" fontId="9" fillId="3" borderId="15" xfId="0" applyFont="1" applyFill="1" applyBorder="1" applyAlignment="1">
      <alignment vertical="center"/>
    </xf>
    <xf numFmtId="0" fontId="0" fillId="0" borderId="44" xfId="0" applyFont="1" applyFill="1" applyBorder="1" applyAlignment="1">
      <alignment wrapText="1"/>
    </xf>
    <xf numFmtId="0" fontId="0" fillId="0" borderId="14" xfId="0" applyFont="1" applyFill="1" applyBorder="1" applyAlignment="1">
      <alignment wrapText="1"/>
    </xf>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17" fillId="0" borderId="21" xfId="0" applyFont="1" applyFill="1" applyBorder="1" applyAlignment="1">
      <alignment horizontal="center" vertical="center" wrapText="1"/>
    </xf>
    <xf numFmtId="0" fontId="17" fillId="0" borderId="22" xfId="0" applyFont="1" applyFill="1" applyBorder="1" applyAlignment="1">
      <alignment horizontal="center" vertical="center" wrapText="1"/>
    </xf>
    <xf numFmtId="0" fontId="17" fillId="0" borderId="23" xfId="0" applyFont="1" applyFill="1" applyBorder="1" applyAlignment="1">
      <alignment horizontal="center" vertical="center" wrapText="1"/>
    </xf>
    <xf numFmtId="0" fontId="0" fillId="0" borderId="44" xfId="0" applyBorder="1" applyAlignment="1">
      <alignment wrapText="1"/>
    </xf>
    <xf numFmtId="0" fontId="17" fillId="0" borderId="50" xfId="0" applyFont="1" applyBorder="1" applyAlignment="1">
      <alignment horizontal="center" vertical="center"/>
    </xf>
    <xf numFmtId="0" fontId="17" fillId="0" borderId="51" xfId="0" applyFont="1" applyBorder="1" applyAlignment="1">
      <alignment horizontal="center" vertical="center"/>
    </xf>
    <xf numFmtId="0" fontId="14" fillId="0" borderId="0" xfId="0" applyFont="1"/>
    <xf numFmtId="0" fontId="0" fillId="0" borderId="7" xfId="0" applyBorder="1" applyAlignment="1">
      <alignment horizontal="left" vertical="center"/>
    </xf>
    <xf numFmtId="9" fontId="0" fillId="0" borderId="8" xfId="10" applyFont="1" applyBorder="1" applyAlignment="1">
      <alignment horizontal="center" vertical="center"/>
    </xf>
    <xf numFmtId="0" fontId="0" fillId="0" borderId="9" xfId="0" applyBorder="1" applyAlignment="1">
      <alignment horizontal="left" vertical="center"/>
    </xf>
    <xf numFmtId="9" fontId="0" fillId="0" borderId="11" xfId="10" applyFont="1" applyBorder="1" applyAlignment="1">
      <alignment horizontal="center" vertical="center"/>
    </xf>
    <xf numFmtId="0" fontId="20" fillId="0" borderId="0" xfId="0" applyFont="1" applyAlignment="1">
      <alignment vertical="center"/>
    </xf>
    <xf numFmtId="0" fontId="17" fillId="0" borderId="7" xfId="0" applyFont="1" applyBorder="1" applyAlignment="1">
      <alignment horizontal="center" vertical="center"/>
    </xf>
    <xf numFmtId="0" fontId="19" fillId="0" borderId="0" xfId="0" applyFont="1" applyBorder="1" applyAlignment="1">
      <alignment horizontal="center"/>
    </xf>
    <xf numFmtId="0" fontId="0" fillId="0" borderId="0" xfId="0" applyBorder="1"/>
    <xf numFmtId="0" fontId="0" fillId="0" borderId="0" xfId="0" applyNumberFormat="1" applyBorder="1" applyAlignment="1">
      <alignment horizontal="center" vertical="center"/>
    </xf>
    <xf numFmtId="0" fontId="0" fillId="0" borderId="0" xfId="0" applyBorder="1" applyAlignment="1">
      <alignment horizontal="center" vertical="center"/>
    </xf>
    <xf numFmtId="0" fontId="0" fillId="0" borderId="0" xfId="0" applyNumberFormat="1" applyBorder="1" applyAlignment="1">
      <alignment horizontal="left"/>
    </xf>
    <xf numFmtId="0" fontId="19" fillId="0" borderId="0" xfId="0" applyFont="1" applyBorder="1" applyAlignment="1"/>
    <xf numFmtId="0" fontId="19" fillId="0" borderId="0" xfId="0" quotePrefix="1" applyFont="1" applyBorder="1" applyAlignment="1"/>
    <xf numFmtId="9" fontId="19" fillId="0" borderId="0" xfId="10" applyFont="1" applyBorder="1" applyAlignment="1">
      <alignment horizontal="center"/>
    </xf>
    <xf numFmtId="0" fontId="19" fillId="0" borderId="0" xfId="0" applyFont="1" applyBorder="1" applyAlignment="1">
      <alignment horizontal="right"/>
    </xf>
    <xf numFmtId="9" fontId="0" fillId="0" borderId="0" xfId="10" applyFont="1" applyBorder="1" applyAlignment="1">
      <alignment horizontal="center" vertical="center"/>
    </xf>
    <xf numFmtId="0" fontId="18" fillId="4" borderId="53" xfId="11" applyFont="1" applyBorder="1" applyAlignment="1" applyProtection="1">
      <alignment horizontal="center" vertical="center"/>
      <protection locked="0"/>
    </xf>
    <xf numFmtId="0" fontId="17" fillId="0" borderId="19" xfId="0" applyNumberFormat="1" applyFont="1" applyBorder="1" applyAlignment="1">
      <alignment horizontal="center" vertical="center"/>
    </xf>
    <xf numFmtId="0" fontId="17" fillId="0" borderId="3" xfId="0" applyNumberFormat="1" applyFont="1" applyBorder="1" applyAlignment="1">
      <alignment horizontal="center" vertical="center"/>
    </xf>
    <xf numFmtId="0" fontId="17" fillId="0" borderId="20" xfId="0" applyNumberFormat="1" applyFont="1" applyBorder="1" applyAlignment="1">
      <alignment horizontal="center" vertical="center"/>
    </xf>
    <xf numFmtId="0" fontId="0" fillId="0" borderId="8" xfId="0" applyBorder="1" applyAlignment="1">
      <alignment horizontal="left" vertical="center"/>
    </xf>
    <xf numFmtId="0" fontId="0" fillId="0" borderId="0" xfId="0" applyBorder="1" applyAlignment="1">
      <alignment horizontal="left" vertical="center"/>
    </xf>
    <xf numFmtId="9" fontId="0" fillId="0" borderId="3" xfId="10" applyFont="1" applyBorder="1" applyAlignment="1" applyProtection="1">
      <alignment horizontal="center" vertical="center"/>
    </xf>
    <xf numFmtId="9" fontId="0" fillId="0" borderId="10" xfId="10" applyFont="1" applyBorder="1" applyAlignment="1" applyProtection="1">
      <alignment horizontal="center" vertical="center"/>
    </xf>
    <xf numFmtId="0" fontId="0" fillId="0" borderId="0" xfId="0" applyAlignment="1">
      <alignment vertical="top" wrapText="1"/>
    </xf>
    <xf numFmtId="0" fontId="0" fillId="0" borderId="0" xfId="0" applyAlignment="1">
      <alignment horizontal="left" vertical="top" wrapText="1" indent="1"/>
    </xf>
    <xf numFmtId="9" fontId="0" fillId="0" borderId="8" xfId="10" applyFont="1" applyBorder="1" applyAlignment="1" applyProtection="1">
      <alignment horizontal="center" vertical="center"/>
    </xf>
    <xf numFmtId="9" fontId="0" fillId="0" borderId="11" xfId="10" applyFont="1" applyBorder="1" applyAlignment="1" applyProtection="1">
      <alignment horizontal="center" vertical="center"/>
    </xf>
    <xf numFmtId="0" fontId="0" fillId="0" borderId="0" xfId="0" applyAlignment="1">
      <alignment horizontal="center" vertical="top" wrapText="1"/>
    </xf>
    <xf numFmtId="0" fontId="20" fillId="0" borderId="0" xfId="0" applyFont="1" applyAlignment="1">
      <alignment horizontal="center" vertical="center"/>
    </xf>
    <xf numFmtId="0" fontId="0" fillId="0" borderId="0" xfId="0" applyAlignment="1">
      <alignment horizontal="left" vertical="top" wrapText="1"/>
    </xf>
    <xf numFmtId="0" fontId="20" fillId="0" borderId="0" xfId="0" applyFont="1" applyAlignment="1">
      <alignment horizontal="left" vertical="center" indent="17"/>
    </xf>
    <xf numFmtId="0" fontId="19" fillId="0" borderId="0" xfId="0" applyFont="1" applyBorder="1" applyAlignment="1">
      <alignment horizontal="center"/>
    </xf>
    <xf numFmtId="0" fontId="16" fillId="6" borderId="0" xfId="0" applyFont="1" applyFill="1" applyBorder="1" applyAlignment="1" applyProtection="1">
      <alignment horizontal="right" vertical="center" wrapText="1"/>
    </xf>
    <xf numFmtId="0" fontId="16" fillId="6" borderId="25" xfId="0" applyFont="1" applyFill="1" applyBorder="1" applyAlignment="1" applyProtection="1">
      <alignment horizontal="right" vertical="center" wrapText="1"/>
    </xf>
    <xf numFmtId="0" fontId="13" fillId="0" borderId="0" xfId="0" applyFont="1" applyAlignment="1" applyProtection="1">
      <alignment horizontal="right" vertical="center"/>
    </xf>
    <xf numFmtId="0" fontId="15" fillId="0" borderId="0" xfId="0" applyFont="1" applyAlignment="1" applyProtection="1">
      <alignment horizontal="right" vertical="center"/>
    </xf>
    <xf numFmtId="0" fontId="0" fillId="0" borderId="10" xfId="0" applyBorder="1" applyAlignment="1" applyProtection="1">
      <alignment horizontal="center" vertical="center" textRotation="180" wrapText="1"/>
    </xf>
    <xf numFmtId="0" fontId="0" fillId="0" borderId="12" xfId="0" applyBorder="1" applyAlignment="1" applyProtection="1">
      <alignment horizontal="center" vertical="center" textRotation="180" wrapText="1"/>
    </xf>
    <xf numFmtId="0" fontId="0" fillId="0" borderId="5" xfId="0" applyBorder="1" applyAlignment="1" applyProtection="1">
      <alignment horizontal="center" vertical="center" textRotation="180" wrapText="1"/>
    </xf>
    <xf numFmtId="0" fontId="15" fillId="0" borderId="0" xfId="0" applyFont="1" applyAlignment="1">
      <alignment horizontal="right" vertical="center"/>
    </xf>
    <xf numFmtId="0" fontId="13" fillId="0" borderId="0" xfId="0" applyFont="1" applyAlignment="1">
      <alignment horizontal="right"/>
    </xf>
    <xf numFmtId="0" fontId="13" fillId="0" borderId="25" xfId="0" applyFont="1" applyBorder="1" applyAlignment="1">
      <alignment horizontal="right"/>
    </xf>
    <xf numFmtId="0" fontId="0" fillId="0" borderId="10" xfId="0" applyBorder="1" applyAlignment="1">
      <alignment horizontal="center" vertical="center" textRotation="180" wrapText="1"/>
    </xf>
    <xf numFmtId="0" fontId="0" fillId="0" borderId="12" xfId="0" applyBorder="1" applyAlignment="1">
      <alignment horizontal="center" vertical="center" textRotation="180" wrapText="1"/>
    </xf>
    <xf numFmtId="0" fontId="0" fillId="0" borderId="5" xfId="0" applyBorder="1" applyAlignment="1">
      <alignment horizontal="center" vertical="center" textRotation="180" wrapText="1"/>
    </xf>
    <xf numFmtId="0" fontId="0" fillId="0" borderId="10" xfId="0" applyBorder="1" applyAlignment="1">
      <alignment horizontal="center" vertical="center" textRotation="180"/>
    </xf>
    <xf numFmtId="0" fontId="0" fillId="0" borderId="12" xfId="0" applyBorder="1" applyAlignment="1">
      <alignment horizontal="center" vertical="center" textRotation="180"/>
    </xf>
    <xf numFmtId="0" fontId="0" fillId="0" borderId="5" xfId="0" applyBorder="1" applyAlignment="1">
      <alignment horizontal="center" vertical="center" textRotation="180"/>
    </xf>
    <xf numFmtId="0" fontId="0" fillId="0" borderId="3" xfId="0" applyBorder="1" applyAlignment="1">
      <alignment horizontal="center" vertical="center" textRotation="180" wrapText="1"/>
    </xf>
    <xf numFmtId="0" fontId="13" fillId="0" borderId="0" xfId="0" applyFont="1" applyAlignment="1">
      <alignment horizontal="right" wrapText="1"/>
    </xf>
    <xf numFmtId="0" fontId="13" fillId="0" borderId="0" xfId="0" applyFont="1" applyAlignment="1">
      <alignment horizontal="right" vertical="center"/>
    </xf>
    <xf numFmtId="0" fontId="13" fillId="0" borderId="0" xfId="0" applyFont="1" applyAlignment="1">
      <alignment horizontal="right" vertical="center" wrapText="1"/>
    </xf>
  </cellXfs>
  <cellStyles count="12">
    <cellStyle name="Activity" xfId="3"/>
    <cellStyle name="Heading 1 2" xfId="6"/>
    <cellStyle name="Input" xfId="11" builtinId="20"/>
    <cellStyle name="Label" xfId="7"/>
    <cellStyle name="Normal" xfId="0" builtinId="0"/>
    <cellStyle name="Normal 2" xfId="1"/>
    <cellStyle name="Normal 2 2" xfId="9"/>
    <cellStyle name="Percent" xfId="10" builtinId="5"/>
    <cellStyle name="Percent Complete" xfId="2"/>
    <cellStyle name="Period Headers" xfId="4"/>
    <cellStyle name="Period Highlight Control" xfId="8"/>
    <cellStyle name="Project Headers" xfId="5"/>
  </cellStyles>
  <dxfs count="143">
    <dxf>
      <border diagonalUp="0" diagonalDown="0">
        <left style="thin">
          <color indexed="64"/>
        </left>
        <right/>
        <top style="thin">
          <color indexed="64"/>
        </top>
        <bottom style="thin">
          <color indexed="64"/>
        </bottom>
      </border>
    </dxf>
    <dxf>
      <font>
        <strike val="0"/>
        <outline val="0"/>
        <shadow val="0"/>
        <u val="none"/>
        <vertAlign val="baseline"/>
        <sz val="11"/>
        <color theme="1"/>
        <name val="Marlett"/>
        <scheme val="none"/>
      </font>
      <numFmt numFmtId="0" formatCode="General"/>
      <alignment horizontal="center" vertical="center" textRotation="0" indent="0" justifyLastLine="0" shrinkToFit="0" readingOrder="0"/>
      <border diagonalUp="0" diagonalDown="0">
        <left style="thin">
          <color indexed="64"/>
        </left>
        <right style="medium">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1"/>
        <name val="Marlett"/>
        <scheme val="none"/>
      </font>
      <numFmt numFmtId="0" formatCode="General"/>
      <alignment horizontal="center" vertic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1"/>
        <name val="Marlett"/>
        <scheme val="none"/>
      </font>
      <numFmt numFmtId="0" formatCode="General"/>
      <alignment horizontal="center" vertical="center" textRotation="0" indent="0" justifyLastLine="0" shrinkToFit="0" readingOrder="0"/>
      <border diagonalUp="0" diagonalDown="0">
        <left style="medium">
          <color indexed="64"/>
        </left>
        <right style="thin">
          <color indexed="64"/>
        </right>
        <top style="thin">
          <color indexed="64"/>
        </top>
        <bottom style="thin">
          <color indexed="64"/>
        </bottom>
        <vertical style="thin">
          <color indexed="64"/>
        </vertical>
        <horizontal style="thin">
          <color indexed="64"/>
        </horizontal>
      </border>
    </dxf>
    <dxf>
      <font>
        <b/>
      </font>
      <alignment horizontal="center" vertical="center" textRotation="0" indent="0" justifyLastLine="0" shrinkToFit="0" readingOrder="0"/>
      <border diagonalUp="0" diagonalDown="0">
        <right style="thin">
          <color indexed="64"/>
        </right>
      </border>
      <protection locked="0" hidden="0"/>
    </dxf>
    <dxf>
      <alignment vertical="center" textRotation="0" wrapText="1" indent="0" justifyLastLine="0" shrinkToFit="0" readingOrder="0"/>
      <border diagonalUp="0" diagonalDown="0">
        <left/>
        <right/>
        <top style="thin">
          <color indexed="64"/>
        </top>
        <bottom style="thin">
          <color indexed="64"/>
        </bottom>
      </border>
    </dxf>
    <dxf>
      <font>
        <b/>
      </font>
      <alignment horizontal="center" vertical="center" textRotation="0" indent="0" justifyLastLine="0" shrinkToFit="0" readingOrder="0"/>
      <border diagonalUp="0" diagonalDown="0">
        <left/>
        <right style="thin">
          <color indexed="64"/>
        </right>
        <top style="thin">
          <color indexed="64"/>
        </top>
        <bottom style="thin">
          <color indexed="64"/>
        </bottom>
      </border>
    </dxf>
    <dxf>
      <border>
        <top style="thin">
          <color rgb="FF000000"/>
        </top>
      </border>
    </dxf>
    <dxf>
      <border diagonalUp="0" diagonalDown="0">
        <left style="medium">
          <color rgb="FF000000"/>
        </left>
        <right style="medium">
          <color rgb="FF000000"/>
        </right>
        <top style="medium">
          <color rgb="FF000000"/>
        </top>
        <bottom style="medium">
          <color rgb="FF000000"/>
        </bottom>
      </border>
    </dxf>
    <dxf>
      <border>
        <bottom style="thin">
          <color rgb="FF000000"/>
        </bottom>
      </border>
    </dxf>
    <dxf>
      <alignment horizontal="center" vertical="center" textRotation="0" wrapText="0" indent="0" justifyLastLine="0" shrinkToFit="0" readingOrder="0"/>
      <border diagonalUp="0" diagonalDown="0" outline="0">
        <left style="thin">
          <color indexed="64"/>
        </left>
        <right style="thin">
          <color indexed="64"/>
        </right>
        <top/>
        <bottom/>
      </border>
    </dxf>
    <dxf>
      <border diagonalUp="0" diagonalDown="0">
        <left style="thin">
          <color indexed="64"/>
        </left>
        <right/>
        <top style="thin">
          <color indexed="64"/>
        </top>
        <bottom style="thin">
          <color indexed="64"/>
        </bottom>
      </border>
    </dxf>
    <dxf>
      <font>
        <strike val="0"/>
        <outline val="0"/>
        <shadow val="0"/>
        <u val="none"/>
        <vertAlign val="baseline"/>
        <sz val="11"/>
        <color theme="1"/>
        <name val="Marlett"/>
        <scheme val="none"/>
      </font>
      <numFmt numFmtId="0" formatCode="General"/>
      <alignment horizontal="center" vertical="center" textRotation="0" indent="0" justifyLastLine="0" shrinkToFit="0" readingOrder="0"/>
      <border diagonalUp="0" diagonalDown="0">
        <left style="thin">
          <color indexed="64"/>
        </left>
        <right style="medium">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1"/>
        <name val="Marlett"/>
        <scheme val="none"/>
      </font>
      <numFmt numFmtId="0" formatCode="General"/>
      <alignment horizontal="center" vertic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1"/>
        <name val="Marlett"/>
        <scheme val="none"/>
      </font>
      <numFmt numFmtId="0" formatCode="General"/>
      <alignment horizontal="center" vertical="center" textRotation="0" indent="0" justifyLastLine="0" shrinkToFit="0" readingOrder="0"/>
      <border diagonalUp="0" diagonalDown="0">
        <left style="medium">
          <color indexed="64"/>
        </left>
        <right style="thin">
          <color indexed="64"/>
        </right>
        <top style="thin">
          <color indexed="64"/>
        </top>
        <bottom style="thin">
          <color indexed="64"/>
        </bottom>
        <vertical style="thin">
          <color indexed="64"/>
        </vertical>
        <horizontal style="thin">
          <color indexed="64"/>
        </horizontal>
      </border>
    </dxf>
    <dxf>
      <font>
        <b/>
      </font>
      <alignment horizontal="center" vertical="center" textRotation="0" indent="0" justifyLastLine="0" shrinkToFit="0" readingOrder="0"/>
      <border diagonalUp="0" diagonalDown="0">
        <right style="thin">
          <color indexed="64"/>
        </right>
      </border>
      <protection locked="0" hidden="0"/>
    </dxf>
    <dxf>
      <alignment vertical="center" textRotation="0" wrapText="1" indent="0" justifyLastLine="0" shrinkToFit="0" readingOrder="0"/>
      <border diagonalUp="0" diagonalDown="0">
        <left/>
        <right/>
        <top style="thin">
          <color indexed="64"/>
        </top>
        <bottom style="thin">
          <color indexed="64"/>
        </bottom>
      </border>
    </dxf>
    <dxf>
      <font>
        <b/>
      </font>
      <alignment horizontal="center" vertical="center" textRotation="0" indent="0" justifyLastLine="0" shrinkToFit="0" readingOrder="0"/>
      <border diagonalUp="0" diagonalDown="0">
        <left/>
        <right style="thin">
          <color indexed="64"/>
        </right>
        <top style="thin">
          <color indexed="64"/>
        </top>
        <bottom style="thin">
          <color indexed="64"/>
        </bottom>
      </border>
    </dxf>
    <dxf>
      <border>
        <top style="thin">
          <color rgb="FF000000"/>
        </top>
      </border>
    </dxf>
    <dxf>
      <border diagonalUp="0" diagonalDown="0">
        <left style="medium">
          <color rgb="FF000000"/>
        </left>
        <right style="medium">
          <color rgb="FF000000"/>
        </right>
        <top style="medium">
          <color rgb="FF000000"/>
        </top>
        <bottom style="medium">
          <color rgb="FF000000"/>
        </bottom>
      </border>
    </dxf>
    <dxf>
      <border>
        <bottom style="thin">
          <color rgb="FF000000"/>
        </bottom>
      </border>
    </dxf>
    <dxf>
      <alignment horizontal="center" vertical="center" textRotation="0" wrapText="0" indent="0" justifyLastLine="0" shrinkToFit="0" readingOrder="0"/>
      <border diagonalUp="0" diagonalDown="0" outline="0">
        <left style="thin">
          <color indexed="64"/>
        </left>
        <right style="thin">
          <color indexed="64"/>
        </right>
        <top/>
        <bottom/>
      </border>
    </dxf>
    <dxf>
      <border diagonalUp="0" diagonalDown="0">
        <left style="thin">
          <color indexed="64"/>
        </left>
        <right/>
        <top style="thin">
          <color indexed="64"/>
        </top>
        <bottom style="thin">
          <color indexed="64"/>
        </bottom>
      </border>
    </dxf>
    <dxf>
      <font>
        <strike val="0"/>
        <outline val="0"/>
        <shadow val="0"/>
        <u val="none"/>
        <vertAlign val="baseline"/>
        <sz val="11"/>
        <color theme="1"/>
        <name val="Marlett"/>
        <scheme val="none"/>
      </font>
      <numFmt numFmtId="0" formatCode="General"/>
      <alignment horizontal="center" vertical="center" textRotation="0" indent="0" justifyLastLine="0" shrinkToFit="0" readingOrder="0"/>
      <border diagonalUp="0" diagonalDown="0">
        <left style="thin">
          <color indexed="64"/>
        </left>
        <right style="medium">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1"/>
        <name val="Marlett"/>
        <scheme val="none"/>
      </font>
      <numFmt numFmtId="0" formatCode="General"/>
      <alignment horizontal="center" vertic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1"/>
        <name val="Marlett"/>
        <scheme val="none"/>
      </font>
      <numFmt numFmtId="0" formatCode="General"/>
      <alignment horizontal="center" vertical="center" textRotation="0" indent="0" justifyLastLine="0" shrinkToFit="0" readingOrder="0"/>
      <border diagonalUp="0" diagonalDown="0">
        <left style="medium">
          <color indexed="64"/>
        </left>
        <right style="thin">
          <color indexed="64"/>
        </right>
        <top style="thin">
          <color indexed="64"/>
        </top>
        <bottom style="thin">
          <color indexed="64"/>
        </bottom>
        <vertical style="thin">
          <color indexed="64"/>
        </vertical>
        <horizontal style="thin">
          <color indexed="64"/>
        </horizontal>
      </border>
    </dxf>
    <dxf>
      <font>
        <b/>
      </font>
      <alignment horizontal="center" vertical="center" textRotation="0" indent="0" justifyLastLine="0" shrinkToFit="0" readingOrder="0"/>
      <border diagonalUp="0" diagonalDown="0">
        <right style="thin">
          <color indexed="64"/>
        </right>
      </border>
      <protection locked="0" hidden="0"/>
    </dxf>
    <dxf>
      <alignment vertical="center" textRotation="0" wrapText="1" indent="0" justifyLastLine="0" shrinkToFit="0" readingOrder="0"/>
      <border diagonalUp="0" diagonalDown="0">
        <left/>
        <right/>
        <top style="thin">
          <color indexed="64"/>
        </top>
        <bottom style="thin">
          <color indexed="64"/>
        </bottom>
      </border>
    </dxf>
    <dxf>
      <font>
        <b/>
      </font>
      <alignment horizontal="center" vertical="center" textRotation="0" indent="0" justifyLastLine="0" shrinkToFit="0" readingOrder="0"/>
      <border diagonalUp="0" diagonalDown="0">
        <left/>
        <right style="thin">
          <color indexed="64"/>
        </right>
        <top style="thin">
          <color indexed="64"/>
        </top>
        <bottom style="thin">
          <color indexed="64"/>
        </bottom>
      </border>
    </dxf>
    <dxf>
      <border>
        <top style="thin">
          <color indexed="64"/>
        </top>
      </border>
    </dxf>
    <dxf>
      <border diagonalUp="0" diagonalDown="0">
        <left style="medium">
          <color indexed="64"/>
        </left>
        <right style="medium">
          <color indexed="64"/>
        </right>
        <top style="medium">
          <color indexed="64"/>
        </top>
        <bottom style="medium">
          <color indexed="64"/>
        </bottom>
      </border>
    </dxf>
    <dxf>
      <border>
        <bottom style="thin">
          <color indexed="64"/>
        </bottom>
      </border>
    </dxf>
    <dxf>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bottom" textRotation="0" wrapText="1" indent="0" justifyLastLine="0" shrinkToFit="0" readingOrder="0"/>
      <border diagonalUp="0" diagonalDown="0">
        <left style="thin">
          <color indexed="64"/>
        </left>
        <right/>
        <top style="thin">
          <color indexed="64"/>
        </top>
        <bottom style="thin">
          <color indexed="64"/>
        </bottom>
      </border>
    </dxf>
    <dxf>
      <font>
        <b val="0"/>
        <i val="0"/>
        <strike val="0"/>
        <condense val="0"/>
        <extend val="0"/>
        <outline val="0"/>
        <shadow val="0"/>
        <u val="none"/>
        <vertAlign val="baseline"/>
        <sz val="11"/>
        <color theme="1"/>
        <name val="Marlett"/>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medium">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Marlett"/>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Marlett"/>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style="thin">
          <color indexed="64"/>
        </vertical>
        <horizontal style="thin">
          <color indexed="64"/>
        </horizontal>
      </border>
    </dxf>
    <dxf>
      <font>
        <b/>
      </font>
      <alignment horizontal="center" vertical="center" textRotation="0" wrapText="1" indent="0" justifyLastLine="0" shrinkToFit="0" readingOrder="0"/>
      <border diagonalUp="0" diagonalDown="0">
        <right style="thin">
          <color indexed="64"/>
        </right>
      </border>
      <protection locked="0"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1" indent="0" justifyLastLine="0" shrinkToFit="0" readingOrder="0"/>
      <border diagonalUp="0" diagonalDown="0">
        <left/>
        <right/>
        <top style="thin">
          <color indexed="64"/>
        </top>
        <bottom style="thin">
          <color indexed="64"/>
        </bottom>
      </border>
    </dxf>
    <dxf>
      <font>
        <b/>
        <i val="0"/>
        <strike val="0"/>
        <condense val="0"/>
        <extend val="0"/>
        <outline val="0"/>
        <shadow val="0"/>
        <u val="none"/>
        <vertAlign val="baseline"/>
        <sz val="11"/>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theme="0"/>
        <name val="Calibri"/>
        <scheme val="minor"/>
      </font>
      <fill>
        <patternFill patternType="solid">
          <fgColor theme="4"/>
          <bgColor theme="4"/>
        </patternFill>
      </fill>
      <alignment horizontal="center" vertical="center" textRotation="0" wrapText="0" indent="0" justifyLastLine="0" shrinkToFit="0" readingOrder="0"/>
      <border diagonalUp="0" diagonalDown="0" outline="0">
        <left style="thin">
          <color indexed="64"/>
        </left>
        <right style="thin">
          <color indexed="64"/>
        </right>
        <top/>
        <bottom/>
      </border>
    </dxf>
    <dxf>
      <alignment horizontal="left" vertical="center" textRotation="0" wrapText="1" indent="0" justifyLastLine="0" shrinkToFit="0" readingOrder="0"/>
      <border diagonalUp="0" diagonalDown="0">
        <left style="thin">
          <color indexed="64"/>
        </left>
        <right/>
        <top style="thin">
          <color indexed="64"/>
        </top>
        <bottom style="thin">
          <color indexed="64"/>
        </bottom>
      </border>
    </dxf>
    <dxf>
      <font>
        <strike val="0"/>
        <outline val="0"/>
        <shadow val="0"/>
        <u val="none"/>
        <vertAlign val="baseline"/>
        <sz val="11"/>
        <color theme="1"/>
        <name val="Marlett"/>
        <scheme val="none"/>
      </font>
      <numFmt numFmtId="0" formatCode="General"/>
      <alignment horizontal="center" vertical="center" textRotation="0" wrapText="1" indent="0" justifyLastLine="0" shrinkToFit="0" readingOrder="0"/>
      <border diagonalUp="0" diagonalDown="0">
        <left style="thin">
          <color indexed="64"/>
        </left>
        <right style="medium">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1"/>
        <name val="Marlett"/>
        <scheme val="none"/>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1"/>
        <name val="Marlett"/>
        <scheme val="none"/>
      </font>
      <numFmt numFmtId="0" formatCode="Genera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style="thin">
          <color indexed="64"/>
        </vertical>
        <horizontal style="thin">
          <color indexed="64"/>
        </horizontal>
      </border>
    </dxf>
    <dxf>
      <font>
        <b/>
      </font>
      <alignment horizontal="center" vertical="center" textRotation="0" wrapText="1" indent="0" justifyLastLine="0" shrinkToFit="0" readingOrder="0"/>
      <border diagonalUp="0" diagonalDown="0">
        <right style="thin">
          <color indexed="64"/>
        </right>
      </border>
      <protection locked="0" hidden="0"/>
    </dxf>
    <dxf>
      <alignment horizontal="left" vertical="center" textRotation="0" wrapText="1" indent="0" justifyLastLine="0" shrinkToFit="0" readingOrder="0"/>
      <border diagonalUp="0" diagonalDown="0" outline="0">
        <left/>
        <right/>
        <top style="thin">
          <color indexed="64"/>
        </top>
        <bottom style="thin">
          <color indexed="64"/>
        </bottom>
      </border>
    </dxf>
    <dxf>
      <font>
        <b/>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diagonalUp="0" diagonalDown="0">
        <left style="medium">
          <color indexed="64"/>
        </left>
        <right style="medium">
          <color indexed="64"/>
        </right>
        <top style="medium">
          <color indexed="64"/>
        </top>
        <bottom style="medium">
          <color indexed="64"/>
        </bottom>
      </border>
    </dxf>
    <dxf>
      <alignment horizontal="left" vertical="center" textRotation="0" wrapText="1" indent="0" justifyLastLine="0" shrinkToFit="0" readingOrder="0"/>
    </dxf>
    <dxf>
      <border>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1"/>
        <name val="Marlett"/>
        <scheme val="none"/>
      </font>
      <numFmt numFmtId="0" formatCode="General"/>
      <alignment horizontal="center" vertical="center" textRotation="0" indent="0" justifyLastLine="0" shrinkToFit="0" readingOrder="0"/>
      <border diagonalUp="0" diagonalDown="0" outline="0">
        <left style="thin">
          <color indexed="64"/>
        </left>
        <right style="medium">
          <color indexed="64"/>
        </right>
        <top style="thin">
          <color indexed="64"/>
        </top>
        <bottom style="thin">
          <color indexed="64"/>
        </bottom>
      </border>
    </dxf>
    <dxf>
      <font>
        <strike val="0"/>
        <outline val="0"/>
        <shadow val="0"/>
        <u val="none"/>
        <vertAlign val="baseline"/>
        <sz val="11"/>
        <color theme="1"/>
        <name val="Marlett"/>
        <scheme val="none"/>
      </font>
      <numFmt numFmtId="0" formatCode="General"/>
      <alignment horizontal="center"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theme="1"/>
        <name val="Marlett"/>
        <scheme val="none"/>
      </font>
      <numFmt numFmtId="0" formatCode="General"/>
      <alignment horizontal="center" vertical="center" textRotation="0" indent="0" justifyLastLine="0" shrinkToFit="0" readingOrder="0"/>
      <border diagonalUp="0" diagonalDown="0" outline="0">
        <left/>
        <right style="thin">
          <color indexed="64"/>
        </right>
        <top style="thin">
          <color indexed="64"/>
        </top>
        <bottom style="thin">
          <color indexed="64"/>
        </bottom>
      </border>
    </dxf>
    <dxf>
      <font>
        <b/>
      </font>
      <alignment horizontal="center" vertical="center" textRotation="0" wrapText="1" indent="0" justifyLastLine="0" shrinkToFit="0" readingOrder="0"/>
      <protection locked="0" hidden="0"/>
    </dxf>
    <dxf>
      <border diagonalUp="0" diagonalDown="0" outline="0">
        <left/>
        <right style="thin">
          <color rgb="FF7F7F7F"/>
        </right>
        <top style="thin">
          <color indexed="64"/>
        </top>
        <bottom style="thin">
          <color indexed="64"/>
        </bottom>
      </border>
    </dxf>
    <dxf>
      <font>
        <b/>
      </font>
      <border diagonalUp="0" diagonalDown="0" outline="0">
        <left/>
        <right style="thin">
          <color indexed="64"/>
        </right>
        <top style="thin">
          <color indexed="64"/>
        </top>
        <bottom style="thin">
          <color indexed="64"/>
        </bottom>
      </border>
    </dxf>
    <dxf>
      <border>
        <top style="thin">
          <color indexed="64"/>
        </top>
      </border>
    </dxf>
    <dxf>
      <border diagonalUp="0" diagonalDown="0">
        <left style="medium">
          <color indexed="64"/>
        </left>
        <right style="medium">
          <color indexed="64"/>
        </right>
        <top style="medium">
          <color indexed="64"/>
        </top>
        <bottom style="medium">
          <color indexed="64"/>
        </bottom>
      </border>
    </dxf>
    <dxf>
      <border>
        <bottom style="thin">
          <color indexed="64"/>
        </bottom>
      </border>
    </dxf>
    <dxf>
      <alignment horizontal="center" vertical="center"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color theme="1"/>
        <name val="Marlett"/>
        <scheme val="none"/>
      </font>
      <numFmt numFmtId="0" formatCode="General"/>
      <alignment horizontal="center" vertical="center" textRotation="0" wrapText="0" indent="0" justifyLastLine="0" shrinkToFit="0" readingOrder="0"/>
      <border diagonalUp="0" diagonalDown="0" outline="0">
        <left style="thin">
          <color indexed="64"/>
        </left>
        <right style="medium">
          <color indexed="64"/>
        </right>
        <top style="thin">
          <color indexed="64"/>
        </top>
        <bottom style="thin">
          <color indexed="64"/>
        </bottom>
      </border>
    </dxf>
    <dxf>
      <font>
        <strike val="0"/>
        <outline val="0"/>
        <shadow val="0"/>
        <u val="none"/>
        <vertAlign val="baseline"/>
        <sz val="11"/>
        <color theme="1"/>
        <name val="Marlett"/>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theme="1"/>
        <name val="Marlett"/>
        <scheme val="none"/>
      </font>
      <numFmt numFmtId="0" formatCode="General"/>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font>
        <b/>
      </font>
      <alignment horizontal="center" vertical="center" textRotation="0" wrapText="0" indent="0" justifyLastLine="0" shrinkToFit="0" readingOrder="0"/>
      <protection locked="0" hidden="0"/>
    </dxf>
    <dxf>
      <alignment horizontal="left" vertical="center" textRotation="0" indent="0" justifyLastLine="0" shrinkToFit="0" readingOrder="0"/>
      <border diagonalUp="0" diagonalDown="0">
        <left style="thin">
          <color indexed="64"/>
        </left>
        <right style="thin">
          <color rgb="FF7F7F7F"/>
        </right>
      </border>
    </dxf>
    <dxf>
      <font>
        <b/>
      </font>
      <alignment horizontal="center" vertical="center" textRotation="0" indent="0" justifyLastLine="0" shrinkToFit="0" readingOrder="0"/>
    </dxf>
    <dxf>
      <border diagonalUp="0" diagonalDown="0">
        <left style="medium">
          <color indexed="64"/>
        </left>
        <right style="medium">
          <color indexed="64"/>
        </right>
        <top style="medium">
          <color indexed="64"/>
        </top>
        <bottom style="medium">
          <color indexed="64"/>
        </bottom>
      </border>
    </dxf>
    <dxf>
      <alignment horizontal="center" vertical="bottom" textRotation="0" wrapText="0" indent="0" justifyLastLine="0" shrinkToFit="0" readingOrder="0"/>
    </dxf>
    <dxf>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1"/>
        <name val="Marlett"/>
        <scheme val="none"/>
      </font>
      <numFmt numFmtId="0" formatCode="General"/>
      <alignment horizontal="center" vertical="center" textRotation="0" wrapText="0" indent="0" justifyLastLine="0" shrinkToFit="0" readingOrder="0"/>
      <border diagonalUp="0" diagonalDown="0" outline="0">
        <left style="thin">
          <color indexed="64"/>
        </left>
        <right style="medium">
          <color indexed="64"/>
        </right>
        <top style="thin">
          <color indexed="64"/>
        </top>
        <bottom style="thin">
          <color indexed="64"/>
        </bottom>
      </border>
    </dxf>
    <dxf>
      <font>
        <strike val="0"/>
        <outline val="0"/>
        <shadow val="0"/>
        <u val="none"/>
        <vertAlign val="baseline"/>
        <sz val="11"/>
        <color theme="1"/>
        <name val="Marlett"/>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theme="1"/>
        <name val="Marlett"/>
        <scheme val="none"/>
      </font>
      <numFmt numFmtId="0" formatCode="General"/>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font>
        <b/>
      </font>
      <alignment horizontal="center" vertical="center" textRotation="0" wrapText="1" indent="0" justifyLastLine="0" shrinkToFit="0" readingOrder="0"/>
      <protection locked="0" hidden="0"/>
    </dxf>
    <dxf>
      <alignment textRotation="0" wrapText="1" indent="0" justifyLastLine="0" shrinkToFit="0" readingOrder="0"/>
      <border diagonalUp="0" diagonalDown="0" outline="0">
        <left style="thin">
          <color indexed="64"/>
        </left>
        <right style="thin">
          <color rgb="FF7F7F7F"/>
        </right>
        <top style="thin">
          <color indexed="64"/>
        </top>
        <bottom style="thin">
          <color indexed="64"/>
        </bottom>
      </border>
    </dxf>
    <dxf>
      <font>
        <b/>
      </font>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medium">
          <color indexed="64"/>
        </left>
        <right style="medium">
          <color indexed="64"/>
        </right>
        <top style="medium">
          <color indexed="64"/>
        </top>
        <bottom style="medium">
          <color indexed="64"/>
        </bottom>
      </border>
    </dxf>
    <dxf>
      <border>
        <bottom style="thin">
          <color indexed="64"/>
        </bottom>
      </border>
    </dxf>
    <dxf>
      <alignment horizontal="center" vertical="center" textRotation="0" wrapText="0" indent="0" justifyLastLine="0" shrinkToFit="0" readingOrder="0"/>
      <border diagonalUp="0" diagonalDown="0" outline="0">
        <left style="thin">
          <color indexed="64"/>
        </left>
        <right style="thin">
          <color indexed="64"/>
        </right>
        <top/>
        <bottom/>
      </border>
    </dxf>
    <dxf>
      <alignment vertical="center" textRotation="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1"/>
        <name val="Marlett"/>
        <scheme val="none"/>
      </font>
      <numFmt numFmtId="0" formatCode="General"/>
      <alignment horizontal="center" vertical="center" textRotation="0" wrapText="0" indent="0" justifyLastLine="0" shrinkToFit="0" readingOrder="0"/>
      <border diagonalUp="0" diagonalDown="0" outline="0">
        <left style="thin">
          <color indexed="64"/>
        </left>
        <right style="medium">
          <color indexed="64"/>
        </right>
        <top style="thin">
          <color indexed="64"/>
        </top>
        <bottom style="thin">
          <color indexed="64"/>
        </bottom>
      </border>
    </dxf>
    <dxf>
      <font>
        <strike val="0"/>
        <outline val="0"/>
        <shadow val="0"/>
        <u val="none"/>
        <vertAlign val="baseline"/>
        <sz val="11"/>
        <color theme="1"/>
        <name val="Marlett"/>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theme="1"/>
        <name val="Marlett"/>
        <scheme val="none"/>
      </font>
      <numFmt numFmtId="0" formatCode="General"/>
      <alignment horizontal="center" vertical="center" textRotation="0" wrapText="0" indent="0" justifyLastLine="0" shrinkToFit="0" readingOrder="0"/>
      <border diagonalUp="0" diagonalDown="0" outline="0">
        <left style="thin">
          <color rgb="FF7F7F7F"/>
        </left>
        <right style="thin">
          <color indexed="64"/>
        </right>
        <top style="thin">
          <color indexed="64"/>
        </top>
        <bottom style="thin">
          <color indexed="64"/>
        </bottom>
      </border>
    </dxf>
    <dxf>
      <font>
        <b/>
      </font>
      <alignment horizontal="center" vertical="center" textRotation="0" wrapText="1" indent="0" justifyLastLine="0" shrinkToFit="0" readingOrder="0"/>
      <protection locked="0" hidden="0"/>
    </dxf>
    <dxf>
      <alignment vertical="center" textRotation="0" indent="0" justifyLastLine="0" shrinkToFit="0" readingOrder="0"/>
      <border diagonalUp="0" diagonalDown="0" outline="0">
        <left style="thin">
          <color indexed="64"/>
        </left>
        <right style="thin">
          <color rgb="FF7F7F7F"/>
        </right>
        <top style="thin">
          <color indexed="64"/>
        </top>
        <bottom style="thin">
          <color indexed="64"/>
        </bottom>
      </border>
    </dxf>
    <dxf>
      <font>
        <b/>
      </font>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medium">
          <color indexed="64"/>
        </left>
        <right style="medium">
          <color indexed="64"/>
        </right>
        <top style="medium">
          <color indexed="64"/>
        </top>
        <bottom style="medium">
          <color indexed="64"/>
        </bottom>
      </border>
    </dxf>
    <dxf>
      <alignment vertical="center" textRotation="0" indent="0" justifyLastLine="0" shrinkToFit="0" readingOrder="0"/>
    </dxf>
    <dxf>
      <border>
        <bottom style="thin">
          <color indexed="64"/>
        </bottom>
      </border>
    </dxf>
    <dxf>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alignment horizontal="general" vertical="center" textRotation="0" wrapText="1" indent="0" justifyLastLine="0" shrinkToFit="0" readingOrder="0"/>
      <border diagonalUp="0" diagonalDown="0" outline="0">
        <left/>
        <right/>
        <top style="thin">
          <color indexed="64"/>
        </top>
        <bottom style="thin">
          <color indexed="64"/>
        </bottom>
      </border>
    </dxf>
    <dxf>
      <font>
        <b val="0"/>
        <i val="0"/>
        <strike val="0"/>
        <outline val="0"/>
        <shadow val="0"/>
        <u val="none"/>
        <vertAlign val="baseline"/>
        <sz val="11"/>
        <color theme="1"/>
        <name val="Marlett"/>
        <scheme val="none"/>
      </font>
      <numFmt numFmtId="0" formatCode="General"/>
      <alignment horizontal="center" vertical="center" textRotation="0" wrapText="1" indent="0" justifyLastLine="0" shrinkToFit="0" readingOrder="0"/>
      <border diagonalUp="0" diagonalDown="0">
        <left/>
        <right style="medium">
          <color indexed="64"/>
        </right>
        <top style="thin">
          <color indexed="64"/>
        </top>
        <bottom style="thin">
          <color indexed="64"/>
        </bottom>
      </border>
    </dxf>
    <dxf>
      <font>
        <b val="0"/>
        <i val="0"/>
        <strike val="0"/>
        <outline val="0"/>
        <shadow val="0"/>
        <u val="none"/>
        <vertAlign val="baseline"/>
        <sz val="11"/>
        <color theme="1"/>
        <name val="Marlett"/>
        <scheme val="none"/>
      </font>
      <numFmt numFmtId="0" formatCode="General"/>
      <alignment horizontal="center" vertical="center" textRotation="0" wrapText="1" indent="0" justifyLastLine="0" shrinkToFit="0" readingOrder="0"/>
      <border diagonalUp="0" diagonalDown="0">
        <left/>
        <right/>
        <top style="thin">
          <color indexed="64"/>
        </top>
        <bottom style="thin">
          <color indexed="64"/>
        </bottom>
      </border>
    </dxf>
    <dxf>
      <font>
        <b val="0"/>
        <i val="0"/>
        <strike val="0"/>
        <outline val="0"/>
        <shadow val="0"/>
        <u val="none"/>
        <vertAlign val="baseline"/>
        <sz val="11"/>
        <color theme="1"/>
        <name val="Marlett"/>
        <scheme val="none"/>
      </font>
      <numFmt numFmtId="0" formatCode="General"/>
      <alignment horizontal="center" vertical="center" textRotation="0" wrapText="1" indent="0" justifyLastLine="0" shrinkToFit="0" readingOrder="0"/>
      <border diagonalUp="0" diagonalDown="0" outline="0">
        <left style="medium">
          <color indexed="64"/>
        </left>
        <right/>
        <top style="thin">
          <color indexed="64"/>
        </top>
        <bottom style="thin">
          <color indexed="64"/>
        </bottom>
      </border>
    </dxf>
    <dxf>
      <font>
        <b/>
      </font>
      <alignment horizontal="center" vertical="center" textRotation="0" wrapText="1" indent="0" justifyLastLine="0" shrinkToFit="0" readingOrder="0"/>
      <protection locked="0" hidden="0"/>
    </dxf>
    <dxf>
      <alignment horizontal="general" vertical="center" textRotation="0" wrapText="1" indent="0" justifyLastLine="0" shrinkToFit="0" readingOrder="0"/>
      <border diagonalUp="0" diagonalDown="0" outline="0">
        <left style="thin">
          <color indexed="64"/>
        </left>
        <right style="thin">
          <color rgb="FF7F7F7F"/>
        </right>
        <top style="thin">
          <color indexed="64"/>
        </top>
        <bottom style="thin">
          <color indexed="64"/>
        </bottom>
      </border>
    </dxf>
    <dxf>
      <font>
        <b/>
      </font>
      <alignment horizontal="center" vertical="center"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alignment horizontal="general" vertical="center" textRotation="0" wrapText="1" indent="0" justifyLastLine="0" shrinkToFit="0" readingOrder="0"/>
    </dxf>
    <dxf>
      <border>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1"/>
        <name val="Marlett"/>
        <scheme val="none"/>
      </font>
      <numFmt numFmtId="0" formatCode="General"/>
      <alignment horizontal="center" vertical="center" textRotation="0" indent="0" justifyLastLine="0" shrinkToFit="0" readingOrder="0"/>
      <border diagonalUp="0" diagonalDown="0">
        <left style="thin">
          <color auto="1"/>
        </left>
        <right style="medium">
          <color auto="1"/>
        </right>
        <top style="thin">
          <color indexed="64"/>
        </top>
        <bottom style="thin">
          <color indexed="64"/>
        </bottom>
        <vertical style="thin">
          <color auto="1"/>
        </vertical>
        <horizontal style="thin">
          <color indexed="64"/>
        </horizontal>
      </border>
    </dxf>
    <dxf>
      <font>
        <strike val="0"/>
        <outline val="0"/>
        <shadow val="0"/>
        <u val="none"/>
        <vertAlign val="baseline"/>
        <sz val="11"/>
        <color theme="1"/>
        <name val="Marlett"/>
        <scheme val="none"/>
      </font>
      <numFmt numFmtId="0" formatCode="General"/>
      <alignment horizontal="center" vertical="center" textRotation="0" indent="0" justifyLastLine="0" shrinkToFit="0" readingOrder="0"/>
      <border diagonalUp="0" diagonalDown="0">
        <left style="thin">
          <color auto="1"/>
        </left>
        <right style="thin">
          <color auto="1"/>
        </right>
        <top style="thin">
          <color indexed="64"/>
        </top>
        <bottom style="thin">
          <color indexed="64"/>
        </bottom>
        <vertical style="thin">
          <color auto="1"/>
        </vertical>
        <horizontal style="thin">
          <color indexed="64"/>
        </horizontal>
      </border>
    </dxf>
    <dxf>
      <font>
        <strike val="0"/>
        <outline val="0"/>
        <shadow val="0"/>
        <u val="none"/>
        <vertAlign val="baseline"/>
        <sz val="11"/>
        <color theme="1"/>
        <name val="Marlett"/>
        <scheme val="none"/>
      </font>
      <numFmt numFmtId="0" formatCode="General"/>
      <alignment horizontal="center" vertical="center" textRotation="0" indent="0" justifyLastLine="0" shrinkToFit="0" readingOrder="0"/>
      <border diagonalUp="0" diagonalDown="0">
        <left style="medium">
          <color auto="1"/>
        </left>
        <right style="thin">
          <color auto="1"/>
        </right>
        <top style="thin">
          <color indexed="64"/>
        </top>
        <bottom style="thin">
          <color indexed="64"/>
        </bottom>
        <vertical style="thin">
          <color auto="1"/>
        </vertical>
        <horizontal style="thin">
          <color indexed="64"/>
        </horizontal>
      </border>
    </dxf>
    <dxf>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border>
    </dxf>
    <dxf>
      <font>
        <b/>
      </font>
      <alignment horizontal="center" vertical="center" textRotation="0" indent="0" justifyLastLine="0" shrinkToFit="0" readingOrder="0"/>
      <border diagonalUp="0" diagonalDown="0">
        <left/>
        <right style="thin">
          <color indexed="64"/>
        </right>
        <top style="thin">
          <color indexed="64"/>
        </top>
        <bottom style="thin">
          <color indexed="64"/>
        </bottom>
      </border>
    </dxf>
    <dxf>
      <border>
        <top style="thin">
          <color indexed="64"/>
        </top>
      </border>
    </dxf>
    <dxf>
      <border diagonalUp="0" diagonalDown="0">
        <left style="medium">
          <color indexed="64"/>
        </left>
        <right style="medium">
          <color indexed="64"/>
        </right>
        <top style="medium">
          <color indexed="64"/>
        </top>
        <bottom style="medium">
          <color indexed="64"/>
        </bottom>
      </border>
    </dxf>
    <dxf>
      <border>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top style="thin">
          <color indexed="64"/>
        </top>
        <bottom style="thin">
          <color indexed="64"/>
        </bottom>
      </border>
      <protection locked="1" hidden="0"/>
    </dxf>
    <dxf>
      <font>
        <strike val="0"/>
        <outline val="0"/>
        <shadow val="0"/>
        <u val="none"/>
        <vertAlign val="baseline"/>
        <sz val="11"/>
        <color theme="1"/>
        <name val="Marlett"/>
        <scheme val="none"/>
      </font>
      <alignment horizontal="center" vertical="center" textRotation="0" indent="0" justifyLastLine="0" shrinkToFit="0" readingOrder="0"/>
      <border diagonalUp="0" diagonalDown="0">
        <left style="thin">
          <color indexed="64"/>
        </left>
        <right style="medium">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11"/>
        <color theme="1"/>
        <name val="Marlett"/>
        <scheme val="none"/>
      </font>
      <alignment horizontal="center" vertic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11"/>
        <color theme="1"/>
        <name val="Marlett"/>
        <scheme val="none"/>
      </font>
      <numFmt numFmtId="0" formatCode="General"/>
      <alignment horizontal="center" vertical="center" textRotation="0" indent="0" justifyLastLine="0" shrinkToFit="0" readingOrder="0"/>
      <border diagonalUp="0" diagonalDown="0">
        <left style="medium">
          <color indexed="64"/>
        </left>
        <right style="thin">
          <color indexed="64"/>
        </right>
        <top style="thin">
          <color indexed="64"/>
        </top>
        <bottom style="thin">
          <color indexed="64"/>
        </bottom>
        <vertical style="thin">
          <color indexed="64"/>
        </vertical>
        <horizontal style="thin">
          <color indexed="64"/>
        </horizontal>
      </border>
      <protection locked="1" hidden="0"/>
    </dxf>
    <dxf>
      <font>
        <b/>
        <i val="0"/>
        <strike val="0"/>
        <outline val="0"/>
        <shadow val="0"/>
        <u val="none"/>
        <vertAlign val="baseline"/>
        <sz val="11"/>
        <color rgb="FF3F3F76"/>
        <name val="Calibri"/>
        <scheme val="minor"/>
      </font>
      <alignment horizontal="center" vertical="center" textRotation="0" wrapText="1" indent="0" justifyLastLine="0" shrinkToFit="0" readingOrder="0"/>
      <protection locked="0" hidden="0"/>
    </dxf>
    <dxf>
      <font>
        <strike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border diagonalUp="0" diagonalDown="0">
        <left style="thin">
          <color indexed="64"/>
        </left>
        <right/>
        <top style="thin">
          <color indexed="64"/>
        </top>
        <bottom style="thin">
          <color indexed="64"/>
        </bottom>
      </border>
      <protection locked="1" hidden="0"/>
    </dxf>
    <dxf>
      <font>
        <b/>
      </font>
      <alignment horizontal="center"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protection locked="1" hidden="0"/>
    </dxf>
    <dxf>
      <border>
        <top style="thin">
          <color indexed="64"/>
        </top>
      </border>
    </dxf>
    <dxf>
      <border diagonalUp="0" diagonalDown="0">
        <left style="medium">
          <color indexed="64"/>
        </left>
        <right style="medium">
          <color indexed="64"/>
        </right>
        <top style="medium">
          <color indexed="64"/>
        </top>
        <bottom style="medium">
          <color indexed="64"/>
        </bottom>
      </border>
    </dxf>
    <dxf>
      <protection locked="1" hidden="0"/>
    </dxf>
    <dxf>
      <border>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left"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diagonalUp="0" diagonalDown="0">
        <left style="medium">
          <color indexed="64"/>
        </left>
        <right style="medium">
          <color indexed="64"/>
        </right>
        <top style="medium">
          <color indexed="64"/>
        </top>
        <bottom style="medium">
          <color indexed="64"/>
        </bottom>
      </border>
    </dxf>
    <dxf>
      <border outline="0">
        <bottom style="thin">
          <color indexed="64"/>
        </bottom>
      </border>
    </dxf>
    <dxf>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Maintenance Health Assessment Summary</a:t>
            </a:r>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lotArea>
      <c:layout>
        <c:manualLayout>
          <c:layoutTarget val="inner"/>
          <c:xMode val="edge"/>
          <c:yMode val="edge"/>
          <c:x val="7.5544810010781838E-2"/>
          <c:y val="8.910512196072394E-2"/>
          <c:w val="0.91523435089286043"/>
          <c:h val="0.65897862074400049"/>
        </c:manualLayout>
      </c:layout>
      <c:lineChart>
        <c:grouping val="standard"/>
        <c:varyColors val="0"/>
        <c:ser>
          <c:idx val="0"/>
          <c:order val="0"/>
          <c:tx>
            <c:v>Current</c:v>
          </c:tx>
          <c:spPr>
            <a:ln w="34925" cap="rnd">
              <a:solidFill>
                <a:schemeClr val="accent1"/>
              </a:solidFill>
              <a:round/>
            </a:ln>
            <a:effectLst>
              <a:outerShdw blurRad="57150" dist="19050" dir="5400000" algn="ctr" rotWithShape="0">
                <a:srgbClr val="000000">
                  <a:alpha val="63000"/>
                </a:srgbClr>
              </a:outerShdw>
            </a:effectLst>
          </c:spPr>
          <c:marker>
            <c:symbol val="none"/>
          </c:marker>
          <c:cat>
            <c:strRef>
              <c:f>Summary!$B$6:$B$17</c:f>
              <c:strCache>
                <c:ptCount val="12"/>
                <c:pt idx="0">
                  <c:v>1. Safety</c:v>
                </c:pt>
                <c:pt idx="1">
                  <c:v>2. Maintenance Strategy</c:v>
                </c:pt>
                <c:pt idx="2">
                  <c:v>3. Preventative Maintenance Strategy</c:v>
                </c:pt>
                <c:pt idx="3">
                  <c:v>4. Shutdown Strategy</c:v>
                </c:pt>
                <c:pt idx="4">
                  <c:v>5. Breakdown Strategy</c:v>
                </c:pt>
                <c:pt idx="5">
                  <c:v>6. Sustainability</c:v>
                </c:pt>
                <c:pt idx="6">
                  <c:v>7. Work Order Strategy</c:v>
                </c:pt>
                <c:pt idx="7">
                  <c:v>8. Inventory Strategy</c:v>
                </c:pt>
                <c:pt idx="8">
                  <c:v>9. Tyre Strategy</c:v>
                </c:pt>
                <c:pt idx="9">
                  <c:v>10. Workshop Condition</c:v>
                </c:pt>
                <c:pt idx="10">
                  <c:v>11. Plant Condition - Dig Unit</c:v>
                </c:pt>
                <c:pt idx="11">
                  <c:v>12. Plant Condition - Haul Unit</c:v>
                </c:pt>
              </c:strCache>
            </c:strRef>
          </c:cat>
          <c:val>
            <c:numRef>
              <c:f>Summary!$E$6:$E$17</c:f>
              <c:numCache>
                <c:formatCode>0%</c:formatCode>
                <c:ptCount val="12"/>
                <c:pt idx="0">
                  <c:v>0.6428571428571429</c:v>
                </c:pt>
                <c:pt idx="1">
                  <c:v>0.58666666666666667</c:v>
                </c:pt>
                <c:pt idx="2">
                  <c:v>0.49122807017543857</c:v>
                </c:pt>
                <c:pt idx="3">
                  <c:v>0.64444444444444449</c:v>
                </c:pt>
                <c:pt idx="4">
                  <c:v>0.66666666666666663</c:v>
                </c:pt>
                <c:pt idx="5">
                  <c:v>0.57291666666666663</c:v>
                </c:pt>
                <c:pt idx="6">
                  <c:v>0.59259259259259256</c:v>
                </c:pt>
                <c:pt idx="7">
                  <c:v>0.66666666666666663</c:v>
                </c:pt>
                <c:pt idx="8">
                  <c:v>0.59139784946236562</c:v>
                </c:pt>
                <c:pt idx="9">
                  <c:v>0.54166666666666663</c:v>
                </c:pt>
                <c:pt idx="10">
                  <c:v>0.5326797385620915</c:v>
                </c:pt>
                <c:pt idx="11">
                  <c:v>0.5679012345679012</c:v>
                </c:pt>
              </c:numCache>
            </c:numRef>
          </c:val>
          <c:smooth val="0"/>
          <c:extLst>
            <c:ext xmlns:c16="http://schemas.microsoft.com/office/drawing/2014/chart" uri="{C3380CC4-5D6E-409C-BE32-E72D297353CC}">
              <c16:uniqueId val="{00000000-CD17-466E-812E-293CF2D32435}"/>
            </c:ext>
          </c:extLst>
        </c:ser>
        <c:ser>
          <c:idx val="1"/>
          <c:order val="1"/>
          <c:tx>
            <c:v>2014</c:v>
          </c:tx>
          <c:spPr>
            <a:ln w="34925" cap="rnd">
              <a:solidFill>
                <a:schemeClr val="accent2"/>
              </a:solidFill>
              <a:round/>
            </a:ln>
            <a:effectLst>
              <a:outerShdw blurRad="57150" dist="19050" dir="5400000" algn="ctr" rotWithShape="0">
                <a:srgbClr val="000000">
                  <a:alpha val="63000"/>
                </a:srgbClr>
              </a:outerShdw>
            </a:effectLst>
          </c:spPr>
          <c:marker>
            <c:symbol val="none"/>
          </c:marker>
          <c:val>
            <c:numRef>
              <c:f>Summary!$F$6:$F$17</c:f>
              <c:numCache>
                <c:formatCode>0%</c:formatCode>
                <c:ptCount val="12"/>
                <c:pt idx="0">
                  <c:v>0.45</c:v>
                </c:pt>
                <c:pt idx="1">
                  <c:v>0.32</c:v>
                </c:pt>
                <c:pt idx="2">
                  <c:v>0.5</c:v>
                </c:pt>
                <c:pt idx="3">
                  <c:v>0.24</c:v>
                </c:pt>
                <c:pt idx="4">
                  <c:v>0.65</c:v>
                </c:pt>
                <c:pt idx="5">
                  <c:v>0.26</c:v>
                </c:pt>
                <c:pt idx="6">
                  <c:v>0.36</c:v>
                </c:pt>
                <c:pt idx="7">
                  <c:v>0.57999999999999996</c:v>
                </c:pt>
                <c:pt idx="8">
                  <c:v>0.62</c:v>
                </c:pt>
                <c:pt idx="9">
                  <c:v>0.76</c:v>
                </c:pt>
                <c:pt idx="10">
                  <c:v>0.87</c:v>
                </c:pt>
                <c:pt idx="11">
                  <c:v>0.68</c:v>
                </c:pt>
              </c:numCache>
            </c:numRef>
          </c:val>
          <c:smooth val="0"/>
          <c:extLst>
            <c:ext xmlns:c16="http://schemas.microsoft.com/office/drawing/2014/chart" uri="{C3380CC4-5D6E-409C-BE32-E72D297353CC}">
              <c16:uniqueId val="{00000001-CD17-466E-812E-293CF2D32435}"/>
            </c:ext>
          </c:extLst>
        </c:ser>
        <c:ser>
          <c:idx val="2"/>
          <c:order val="2"/>
          <c:tx>
            <c:v>2013</c:v>
          </c:tx>
          <c:spPr>
            <a:ln w="34925" cap="rnd">
              <a:solidFill>
                <a:schemeClr val="accent3"/>
              </a:solidFill>
              <a:round/>
            </a:ln>
            <a:effectLst>
              <a:outerShdw blurRad="57150" dist="19050" dir="5400000" algn="ctr" rotWithShape="0">
                <a:srgbClr val="000000">
                  <a:alpha val="63000"/>
                </a:srgbClr>
              </a:outerShdw>
            </a:effectLst>
          </c:spPr>
          <c:marker>
            <c:symbol val="none"/>
          </c:marker>
          <c:val>
            <c:numRef>
              <c:f>Summary!$G$6:$G$17</c:f>
              <c:numCache>
                <c:formatCode>0%</c:formatCode>
                <c:ptCount val="12"/>
                <c:pt idx="0">
                  <c:v>0.28999999999999998</c:v>
                </c:pt>
                <c:pt idx="1">
                  <c:v>0.13</c:v>
                </c:pt>
                <c:pt idx="2">
                  <c:v>0.36</c:v>
                </c:pt>
                <c:pt idx="3">
                  <c:v>0.31</c:v>
                </c:pt>
                <c:pt idx="4">
                  <c:v>0.48</c:v>
                </c:pt>
                <c:pt idx="5">
                  <c:v>0.23</c:v>
                </c:pt>
                <c:pt idx="6">
                  <c:v>0.28999999999999998</c:v>
                </c:pt>
                <c:pt idx="7">
                  <c:v>0.52</c:v>
                </c:pt>
                <c:pt idx="8">
                  <c:v>0.48</c:v>
                </c:pt>
                <c:pt idx="9">
                  <c:v>0.54</c:v>
                </c:pt>
                <c:pt idx="10">
                  <c:v>0.68</c:v>
                </c:pt>
                <c:pt idx="11">
                  <c:v>0.45</c:v>
                </c:pt>
              </c:numCache>
            </c:numRef>
          </c:val>
          <c:smooth val="0"/>
          <c:extLst>
            <c:ext xmlns:c16="http://schemas.microsoft.com/office/drawing/2014/chart" uri="{C3380CC4-5D6E-409C-BE32-E72D297353CC}">
              <c16:uniqueId val="{00000002-CD17-466E-812E-293CF2D32435}"/>
            </c:ext>
          </c:extLst>
        </c:ser>
        <c:dLbls>
          <c:showLegendKey val="0"/>
          <c:showVal val="0"/>
          <c:showCatName val="0"/>
          <c:showSerName val="0"/>
          <c:showPercent val="0"/>
          <c:showBubbleSize val="0"/>
        </c:dLbls>
        <c:smooth val="0"/>
        <c:axId val="420351472"/>
        <c:axId val="234136960"/>
      </c:lineChart>
      <c:catAx>
        <c:axId val="420351472"/>
        <c:scaling>
          <c:orientation val="minMax"/>
        </c:scaling>
        <c:delete val="0"/>
        <c:axPos val="b"/>
        <c:minorGridlines>
          <c:spPr>
            <a:ln>
              <a:solidFill>
                <a:schemeClr val="lt1">
                  <a:lumMod val="95000"/>
                  <a:alpha val="5000"/>
                </a:schemeClr>
              </a:solidFill>
            </a:ln>
            <a:effectLst/>
          </c:spPr>
        </c:minorGridlines>
        <c:numFmt formatCode="@" sourceLinked="0"/>
        <c:majorTickMark val="none"/>
        <c:minorTickMark val="none"/>
        <c:tickLblPos val="nextTo"/>
        <c:spPr>
          <a:noFill/>
          <a:ln w="9525" cap="flat" cmpd="sng" algn="ctr">
            <a:solidFill>
              <a:schemeClr val="lt1">
                <a:lumMod val="95000"/>
                <a:alpha val="10000"/>
              </a:schemeClr>
            </a:solidFill>
            <a:round/>
          </a:ln>
          <a:effectLst/>
        </c:spPr>
        <c:txPr>
          <a:bodyPr rot="2100000" spcFirstLastPara="1" vertOverflow="ellipsis" wrap="square" anchor="ctr" anchorCtr="1"/>
          <a:lstStyle/>
          <a:p>
            <a:pPr>
              <a:defRPr sz="900" b="0" i="0" u="none" strike="noStrike" kern="1200" baseline="0">
                <a:ln>
                  <a:noFill/>
                </a:ln>
                <a:solidFill>
                  <a:schemeClr val="bg1"/>
                </a:solidFill>
                <a:latin typeface="+mn-lt"/>
                <a:ea typeface="+mn-ea"/>
                <a:cs typeface="+mn-cs"/>
              </a:defRPr>
            </a:pPr>
            <a:endParaRPr lang="en-US"/>
          </a:p>
        </c:txPr>
        <c:crossAx val="234136960"/>
        <c:crosses val="autoZero"/>
        <c:auto val="1"/>
        <c:lblAlgn val="ctr"/>
        <c:lblOffset val="100"/>
        <c:noMultiLvlLbl val="0"/>
      </c:catAx>
      <c:valAx>
        <c:axId val="234136960"/>
        <c:scaling>
          <c:orientation val="minMax"/>
          <c:max val="1"/>
        </c:scaling>
        <c:delete val="0"/>
        <c:axPos val="l"/>
        <c:majorGridlines>
          <c:spPr>
            <a:ln w="9525" cap="flat" cmpd="sng" algn="ctr">
              <a:solidFill>
                <a:schemeClr val="lt1">
                  <a:lumMod val="95000"/>
                  <a:alpha val="10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420351472"/>
        <c:crosses val="autoZero"/>
        <c:crossBetween val="between"/>
      </c:valAx>
      <c:spPr>
        <a:noFill/>
        <a:ln>
          <a:noFill/>
        </a:ln>
        <a:effectLst/>
      </c:spPr>
    </c:plotArea>
    <c:legend>
      <c:legendPos val="r"/>
      <c:layout>
        <c:manualLayout>
          <c:xMode val="edge"/>
          <c:yMode val="edge"/>
          <c:x val="0.89477259183181812"/>
          <c:y val="0.36978457843377621"/>
          <c:w val="9.3454169678065607E-2"/>
          <c:h val="0.13157984137775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3">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9525" cap="flat" cmpd="sng" algn="ctr">
        <a:solidFill>
          <a:schemeClr val="lt1">
            <a:lumMod val="95000"/>
            <a:alpha val="10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438150</xdr:colOff>
      <xdr:row>0</xdr:row>
      <xdr:rowOff>47625</xdr:rowOff>
    </xdr:from>
    <xdr:to>
      <xdr:col>5</xdr:col>
      <xdr:colOff>39845</xdr:colOff>
      <xdr:row>3</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7750" y="47625"/>
          <a:ext cx="2040095" cy="676275"/>
        </a:xfrm>
        <a:prstGeom prst="rect">
          <a:avLst/>
        </a:prstGeom>
      </xdr:spPr>
    </xdr:pic>
    <xdr:clientData/>
  </xdr:twoCellAnchor>
  <xdr:twoCellAnchor>
    <xdr:from>
      <xdr:col>1</xdr:col>
      <xdr:colOff>304800</xdr:colOff>
      <xdr:row>4</xdr:row>
      <xdr:rowOff>76199</xdr:rowOff>
    </xdr:from>
    <xdr:to>
      <xdr:col>14</xdr:col>
      <xdr:colOff>47625</xdr:colOff>
      <xdr:row>32</xdr:row>
      <xdr:rowOff>142875</xdr:rowOff>
    </xdr:to>
    <xdr:sp macro="" textlink="">
      <xdr:nvSpPr>
        <xdr:cNvPr id="3" name="TextBox 2"/>
        <xdr:cNvSpPr txBox="1"/>
      </xdr:nvSpPr>
      <xdr:spPr>
        <a:xfrm>
          <a:off x="914400" y="838199"/>
          <a:ext cx="7667625" cy="58959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600"/>
            </a:spcAft>
          </a:pPr>
          <a:r>
            <a:rPr lang="en-AU" sz="1100">
              <a:solidFill>
                <a:schemeClr val="dk1"/>
              </a:solidFill>
              <a:effectLst/>
              <a:latin typeface="+mn-lt"/>
              <a:ea typeface="+mn-ea"/>
              <a:cs typeface="+mn-cs"/>
            </a:rPr>
            <a:t>The intention of the Maintenance Health Assessment Tool is to establish the baseline standard of a maintenance department. This can be used to determine the cause of a known constraint or as an improvement technique aimed at identifying and remedying unknown constraints. </a:t>
          </a:r>
        </a:p>
        <a:p>
          <a:r>
            <a:rPr lang="en-AU" sz="1100">
              <a:solidFill>
                <a:schemeClr val="dk1"/>
              </a:solidFill>
              <a:effectLst/>
              <a:latin typeface="+mn-lt"/>
              <a:ea typeface="+mn-ea"/>
              <a:cs typeface="+mn-cs"/>
            </a:rPr>
            <a:t>Once the baseline is set, further assessments should be completed at regular intervals to assess whether the corrective action outputs, if any are noted, have provided quantifiable improvement to the holistic maintenance function.</a:t>
          </a:r>
        </a:p>
        <a:p>
          <a:pPr algn="just">
            <a:spcBef>
              <a:spcPts val="600"/>
            </a:spcBef>
          </a:pPr>
          <a:r>
            <a:rPr lang="en-AU" sz="1100" b="0" i="0" u="none" strike="noStrike">
              <a:solidFill>
                <a:schemeClr val="dk1"/>
              </a:solidFill>
              <a:effectLst/>
              <a:latin typeface="+mn-lt"/>
              <a:ea typeface="+mn-ea"/>
              <a:cs typeface="+mn-cs"/>
            </a:rPr>
            <a:t>Each Worksheet contains a list of questions aimed to determine which areas are performing well and which areas present opportunity for improvement.</a:t>
          </a:r>
          <a:r>
            <a:rPr lang="en-AU" sz="1100" b="0" i="0" u="none" strike="noStrike" baseline="0">
              <a:solidFill>
                <a:schemeClr val="dk1"/>
              </a:solidFill>
              <a:effectLst/>
              <a:latin typeface="+mn-lt"/>
              <a:ea typeface="+mn-ea"/>
              <a:cs typeface="+mn-cs"/>
            </a:rPr>
            <a:t> </a:t>
          </a:r>
          <a:r>
            <a:rPr lang="en-AU" sz="1100" b="0" i="0" u="none" strike="noStrike">
              <a:solidFill>
                <a:schemeClr val="dk1"/>
              </a:solidFill>
              <a:effectLst/>
              <a:latin typeface="+mn-lt"/>
              <a:ea typeface="+mn-ea"/>
              <a:cs typeface="+mn-cs"/>
            </a:rPr>
            <a:t>To fill in the Worksheet, enter the result for each question into the "Result" column with either:</a:t>
          </a:r>
          <a:r>
            <a:rPr lang="en-AU"/>
            <a:t> </a:t>
          </a:r>
        </a:p>
        <a:p>
          <a:pPr marL="628650" lvl="1" indent="-171450" algn="just">
            <a:spcBef>
              <a:spcPts val="600"/>
            </a:spcBef>
            <a:buFont typeface="Arial" panose="020B0604020202020204" pitchFamily="34" charset="0"/>
            <a:buChar char="•"/>
          </a:pPr>
          <a:r>
            <a:rPr lang="en-AU" sz="1100"/>
            <a:t>"C"</a:t>
          </a:r>
          <a:r>
            <a:rPr lang="en-AU" sz="1100" baseline="0"/>
            <a:t> for Conformance,</a:t>
          </a:r>
        </a:p>
        <a:p>
          <a:pPr marL="628650" lvl="1" indent="-171450" algn="just">
            <a:spcBef>
              <a:spcPts val="600"/>
            </a:spcBef>
            <a:buFont typeface="Arial" panose="020B0604020202020204" pitchFamily="34" charset="0"/>
            <a:buChar char="•"/>
          </a:pPr>
          <a:r>
            <a:rPr lang="en-AU" sz="1100" baseline="0"/>
            <a:t>"PC" for a Partial Conformance, or</a:t>
          </a:r>
        </a:p>
        <a:p>
          <a:pPr marL="628650" lvl="1" indent="-171450" algn="just">
            <a:spcBef>
              <a:spcPts val="600"/>
            </a:spcBef>
            <a:buFont typeface="Arial" panose="020B0604020202020204" pitchFamily="34" charset="0"/>
            <a:buChar char="•"/>
          </a:pPr>
          <a:r>
            <a:rPr lang="en-AU" sz="1100" baseline="0"/>
            <a:t>"NC" for a Non Conformance.</a:t>
          </a:r>
        </a:p>
        <a:p>
          <a:pPr marL="0" indent="0" algn="just">
            <a:spcBef>
              <a:spcPts val="600"/>
            </a:spcBef>
            <a:spcAft>
              <a:spcPts val="600"/>
            </a:spcAft>
            <a:buFont typeface="Arial" panose="020B0604020202020204" pitchFamily="34" charset="0"/>
            <a:buNone/>
          </a:pPr>
          <a:r>
            <a:rPr lang="en-AU" sz="1100" baseline="0"/>
            <a:t>To determine when an action is classified as a Conformance, Partial Conformance or a Non Conformance, refer to the Measures in the Maintenance Health Assessment Procedure (CPL_PCR_Maintenance_Health_Assessment).</a:t>
          </a:r>
        </a:p>
        <a:p>
          <a:pPr>
            <a:spcAft>
              <a:spcPts val="600"/>
            </a:spcAft>
          </a:pPr>
          <a:r>
            <a:rPr lang="en-AU" sz="1100">
              <a:solidFill>
                <a:schemeClr val="dk1"/>
              </a:solidFill>
              <a:effectLst/>
              <a:latin typeface="+mn-lt"/>
              <a:ea typeface="+mn-ea"/>
              <a:cs typeface="+mn-cs"/>
            </a:rPr>
            <a:t>To ensure successful deployment of the Maintenance Health Assessment, Calsta recommend the Client’s senior management engage the operation’s frontline management, through a structured Stakeholder Engagement Session to explain the intent of the tool is not a "finger pointing" or a blaming exercise. The tool is designed to drive operational improvement and empower individuals and teams to better perform their duties.</a:t>
          </a:r>
        </a:p>
        <a:p>
          <a:pPr>
            <a:spcAft>
              <a:spcPts val="600"/>
            </a:spcAft>
          </a:pPr>
          <a:r>
            <a:rPr lang="en-AU" sz="1100">
              <a:solidFill>
                <a:schemeClr val="dk1"/>
              </a:solidFill>
              <a:effectLst/>
              <a:latin typeface="+mn-lt"/>
              <a:ea typeface="+mn-ea"/>
              <a:cs typeface="+mn-cs"/>
            </a:rPr>
            <a:t>The tool has been designed with two main objectives:</a:t>
          </a:r>
        </a:p>
        <a:p>
          <a:pPr marL="171450" lvl="0" indent="-171450">
            <a:spcAft>
              <a:spcPts val="600"/>
            </a:spcAft>
            <a:buFont typeface="Wingdings" panose="05000000000000000000" pitchFamily="2" charset="2"/>
            <a:buChar char="ü"/>
          </a:pPr>
          <a:r>
            <a:rPr lang="en-AU" sz="1100">
              <a:solidFill>
                <a:schemeClr val="dk1"/>
              </a:solidFill>
              <a:effectLst/>
              <a:latin typeface="+mn-lt"/>
              <a:ea typeface="+mn-ea"/>
              <a:cs typeface="+mn-cs"/>
            </a:rPr>
            <a:t>Measure the maintenance functions current performance and areas for improvement compared to industry best practice.</a:t>
          </a:r>
        </a:p>
        <a:p>
          <a:pPr marL="171450" lvl="0" indent="-171450">
            <a:spcAft>
              <a:spcPts val="600"/>
            </a:spcAft>
            <a:buFont typeface="Wingdings" panose="05000000000000000000" pitchFamily="2" charset="2"/>
            <a:buChar char="ü"/>
          </a:pPr>
          <a:r>
            <a:rPr lang="en-AU" sz="1100">
              <a:solidFill>
                <a:schemeClr val="dk1"/>
              </a:solidFill>
              <a:effectLst/>
              <a:latin typeface="+mn-lt"/>
              <a:ea typeface="+mn-ea"/>
              <a:cs typeface="+mn-cs"/>
            </a:rPr>
            <a:t>Measure if corrective actions undertaken from outputs of previous assessments have provided quantifiable improvement to the maintenance function.</a:t>
          </a:r>
        </a:p>
        <a:p>
          <a:pPr>
            <a:spcAft>
              <a:spcPts val="600"/>
            </a:spcAft>
          </a:pPr>
          <a:r>
            <a:rPr lang="en-AU" sz="1100">
              <a:solidFill>
                <a:schemeClr val="dk1"/>
              </a:solidFill>
              <a:effectLst/>
              <a:latin typeface="+mn-lt"/>
              <a:ea typeface="+mn-ea"/>
              <a:cs typeface="+mn-cs"/>
            </a:rPr>
            <a:t>As part of the design, the first half of the tool (210 questions) assesses the systemisation used within the maintenance department. The second half of the tool (210 questions) assesses how systemisation is influencing the quality of maintenance.  </a:t>
          </a:r>
        </a:p>
        <a:p>
          <a:pPr marL="0" marR="0" indent="0" defTabSz="914400" eaLnBrk="1" fontAlgn="auto" latinLnBrk="0" hangingPunct="1">
            <a:lnSpc>
              <a:spcPct val="100000"/>
            </a:lnSpc>
            <a:spcBef>
              <a:spcPts val="0"/>
            </a:spcBef>
            <a:spcAft>
              <a:spcPts val="600"/>
            </a:spcAft>
            <a:buClrTx/>
            <a:buSzTx/>
            <a:buFontTx/>
            <a:buNone/>
            <a:tabLst/>
            <a:defRPr/>
          </a:pPr>
          <a:r>
            <a:rPr lang="en-AU" sz="1100" b="1" baseline="0">
              <a:solidFill>
                <a:schemeClr val="dk1"/>
              </a:solidFill>
              <a:effectLst/>
              <a:latin typeface="+mn-lt"/>
              <a:ea typeface="+mn-ea"/>
              <a:cs typeface="+mn-cs"/>
            </a:rPr>
            <a:t>NB: </a:t>
          </a:r>
          <a:r>
            <a:rPr lang="en-AU" sz="1100" baseline="0">
              <a:solidFill>
                <a:schemeClr val="dk1"/>
              </a:solidFill>
              <a:effectLst/>
              <a:latin typeface="+mn-lt"/>
              <a:ea typeface="+mn-ea"/>
              <a:cs typeface="+mn-cs"/>
            </a:rPr>
            <a:t>The safety section of this tool is considered a high level condition assessment only. The specific safety assessment tool is required to conduct a comprehensive health and safety assessment.</a:t>
          </a:r>
          <a:endParaRPr lang="en-AU">
            <a:effectLst/>
          </a:endParaRPr>
        </a:p>
        <a:p>
          <a:pPr>
            <a:spcAft>
              <a:spcPts val="600"/>
            </a:spcAft>
          </a:pPr>
          <a:endParaRPr lang="en-AU" sz="1100">
            <a:solidFill>
              <a:schemeClr val="dk1"/>
            </a:solidFill>
            <a:effectLst/>
            <a:latin typeface="+mn-lt"/>
            <a:ea typeface="+mn-ea"/>
            <a:cs typeface="+mn-cs"/>
          </a:endParaRPr>
        </a:p>
        <a:p>
          <a:pPr marL="0" indent="0" algn="just">
            <a:spcBef>
              <a:spcPts val="600"/>
            </a:spcBef>
            <a:buFont typeface="Arial" panose="020B0604020202020204" pitchFamily="34" charset="0"/>
            <a:buNone/>
          </a:pPr>
          <a:endParaRPr lang="en-AU" sz="1100" baseline="0"/>
        </a:p>
      </xdr:txBody>
    </xdr:sp>
    <xdr:clientData/>
  </xdr:twoCellAnchor>
  <xdr:twoCellAnchor>
    <xdr:from>
      <xdr:col>15</xdr:col>
      <xdr:colOff>371475</xdr:colOff>
      <xdr:row>5</xdr:row>
      <xdr:rowOff>38100</xdr:rowOff>
    </xdr:from>
    <xdr:to>
      <xdr:col>19</xdr:col>
      <xdr:colOff>247650</xdr:colOff>
      <xdr:row>9</xdr:row>
      <xdr:rowOff>323850</xdr:rowOff>
    </xdr:to>
    <xdr:sp macro="" textlink="">
      <xdr:nvSpPr>
        <xdr:cNvPr id="4" name="TextBox 3"/>
        <xdr:cNvSpPr txBox="1"/>
      </xdr:nvSpPr>
      <xdr:spPr>
        <a:xfrm>
          <a:off x="9515475" y="990600"/>
          <a:ext cx="2314575" cy="1076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a:t>For more information contact Calsta</a:t>
          </a:r>
          <a:r>
            <a:rPr lang="en-AU" sz="1100" baseline="0"/>
            <a:t>:</a:t>
          </a:r>
        </a:p>
        <a:p>
          <a:endParaRPr lang="en-AU" sz="1100" baseline="0"/>
        </a:p>
        <a:p>
          <a:r>
            <a:rPr lang="en-AU" sz="1100" baseline="0"/>
            <a:t>Email: info@calsta.com.au</a:t>
          </a:r>
        </a:p>
        <a:p>
          <a:r>
            <a:rPr lang="en-AU" sz="1100" baseline="0"/>
            <a:t>Phone: +61 (08) 9271 9723</a:t>
          </a:r>
        </a:p>
        <a:p>
          <a:r>
            <a:rPr lang="en-AU" sz="1100" baseline="0"/>
            <a:t>Website: www.calsta.com.au</a:t>
          </a:r>
          <a:endParaRPr lang="en-AU" sz="1100"/>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3</xdr:col>
      <xdr:colOff>1802606</xdr:colOff>
      <xdr:row>3</xdr:row>
      <xdr:rowOff>174450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6" name="Pictur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1804987</xdr:colOff>
      <xdr:row>3</xdr:row>
      <xdr:rowOff>174450</xdr:rowOff>
    </xdr:to>
    <xdr:pic>
      <xdr:nvPicPr>
        <xdr:cNvPr id="7" name="Picture 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2662"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8" name="Picture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3</xdr:col>
      <xdr:colOff>1802606</xdr:colOff>
      <xdr:row>3</xdr:row>
      <xdr:rowOff>174450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6" name="Pictur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7" name="Picture 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1804987</xdr:colOff>
      <xdr:row>3</xdr:row>
      <xdr:rowOff>174450</xdr:rowOff>
    </xdr:to>
    <xdr:pic>
      <xdr:nvPicPr>
        <xdr:cNvPr id="8" name="Picture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2662"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9" name="Picture 8"/>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3</xdr:col>
      <xdr:colOff>1802606</xdr:colOff>
      <xdr:row>3</xdr:row>
      <xdr:rowOff>174450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580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6" name="Pictur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7" name="Picture 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8" name="Picture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1804987</xdr:colOff>
      <xdr:row>3</xdr:row>
      <xdr:rowOff>174450</xdr:rowOff>
    </xdr:to>
    <xdr:pic>
      <xdr:nvPicPr>
        <xdr:cNvPr id="9" name="Picture 8"/>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2662"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10" name="Pictur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3</xdr:col>
      <xdr:colOff>1802606</xdr:colOff>
      <xdr:row>3</xdr:row>
      <xdr:rowOff>174450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6" name="Pictur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7" name="Picture 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8" name="Picture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1804987</xdr:colOff>
      <xdr:row>3</xdr:row>
      <xdr:rowOff>174450</xdr:rowOff>
    </xdr:to>
    <xdr:pic>
      <xdr:nvPicPr>
        <xdr:cNvPr id="9" name="Picture 8"/>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2662"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10" name="Pictur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3</xdr:col>
      <xdr:colOff>1802606</xdr:colOff>
      <xdr:row>3</xdr:row>
      <xdr:rowOff>174450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6" name="Pictur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7" name="Picture 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8" name="Picture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1804987</xdr:colOff>
      <xdr:row>3</xdr:row>
      <xdr:rowOff>174450</xdr:rowOff>
    </xdr:to>
    <xdr:pic>
      <xdr:nvPicPr>
        <xdr:cNvPr id="9" name="Picture 8"/>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2662"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10" name="Pictur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133350</xdr:colOff>
      <xdr:row>1</xdr:row>
      <xdr:rowOff>76200</xdr:rowOff>
    </xdr:from>
    <xdr:to>
      <xdr:col>21</xdr:col>
      <xdr:colOff>371475</xdr:colOff>
      <xdr:row>27</xdr:row>
      <xdr:rowOff>19051</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95250</xdr:colOff>
      <xdr:row>0</xdr:row>
      <xdr:rowOff>0</xdr:rowOff>
    </xdr:from>
    <xdr:to>
      <xdr:col>1</xdr:col>
      <xdr:colOff>1363820</xdr:colOff>
      <xdr:row>3</xdr:row>
      <xdr:rowOff>104775</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0" y="0"/>
          <a:ext cx="2040095" cy="6762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3</xdr:col>
      <xdr:colOff>1802606</xdr:colOff>
      <xdr:row>3</xdr:row>
      <xdr:rowOff>174450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3</xdr:col>
      <xdr:colOff>1802606</xdr:colOff>
      <xdr:row>3</xdr:row>
      <xdr:rowOff>174450</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3</xdr:col>
      <xdr:colOff>1804987</xdr:colOff>
      <xdr:row>3</xdr:row>
      <xdr:rowOff>174450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0094"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3</xdr:col>
      <xdr:colOff>1802606</xdr:colOff>
      <xdr:row>3</xdr:row>
      <xdr:rowOff>174450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00100" y="0"/>
          <a:ext cx="2250281" cy="745950"/>
        </a:xfrm>
        <a:prstGeom prst="rect">
          <a:avLst/>
        </a:prstGeom>
      </xdr:spPr>
    </xdr:pic>
    <xdr:clientData/>
  </xdr:twoCellAnchor>
  <xdr:twoCellAnchor editAs="oneCell">
    <xdr:from>
      <xdr:col>2</xdr:col>
      <xdr:colOff>0</xdr:colOff>
      <xdr:row>0</xdr:row>
      <xdr:rowOff>0</xdr:rowOff>
    </xdr:from>
    <xdr:to>
      <xdr:col>3</xdr:col>
      <xdr:colOff>1804987</xdr:colOff>
      <xdr:row>3</xdr:row>
      <xdr:rowOff>174450</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2662"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3</xdr:col>
      <xdr:colOff>1802606</xdr:colOff>
      <xdr:row>3</xdr:row>
      <xdr:rowOff>174450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1804987</xdr:colOff>
      <xdr:row>3</xdr:row>
      <xdr:rowOff>174450</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2662"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3</xdr:col>
      <xdr:colOff>1802606</xdr:colOff>
      <xdr:row>3</xdr:row>
      <xdr:rowOff>174450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1804987</xdr:colOff>
      <xdr:row>3</xdr:row>
      <xdr:rowOff>174450</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2662"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6" name="Pictur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3</xdr:col>
      <xdr:colOff>1802606</xdr:colOff>
      <xdr:row>3</xdr:row>
      <xdr:rowOff>174450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twoCellAnchor editAs="oneCell">
    <xdr:from>
      <xdr:col>2</xdr:col>
      <xdr:colOff>0</xdr:colOff>
      <xdr:row>0</xdr:row>
      <xdr:rowOff>0</xdr:rowOff>
    </xdr:from>
    <xdr:to>
      <xdr:col>3</xdr:col>
      <xdr:colOff>1804987</xdr:colOff>
      <xdr:row>3</xdr:row>
      <xdr:rowOff>174450</xdr:rowOff>
    </xdr:to>
    <xdr:pic>
      <xdr:nvPicPr>
        <xdr:cNvPr id="6" name="Pictur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2662" cy="745950"/>
        </a:xfrm>
        <a:prstGeom prst="rect">
          <a:avLst/>
        </a:prstGeom>
      </xdr:spPr>
    </xdr:pic>
    <xdr:clientData/>
  </xdr:twoCellAnchor>
  <xdr:twoCellAnchor editAs="oneCell">
    <xdr:from>
      <xdr:col>2</xdr:col>
      <xdr:colOff>0</xdr:colOff>
      <xdr:row>0</xdr:row>
      <xdr:rowOff>0</xdr:rowOff>
    </xdr:from>
    <xdr:to>
      <xdr:col>3</xdr:col>
      <xdr:colOff>1802606</xdr:colOff>
      <xdr:row>3</xdr:row>
      <xdr:rowOff>174450</xdr:rowOff>
    </xdr:to>
    <xdr:pic>
      <xdr:nvPicPr>
        <xdr:cNvPr id="7" name="Picture 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0"/>
          <a:ext cx="2250281" cy="745950"/>
        </a:xfrm>
        <a:prstGeom prst="rect">
          <a:avLst/>
        </a:prstGeom>
      </xdr:spPr>
    </xdr:pic>
    <xdr:clientData/>
  </xdr:twoCellAnchor>
</xdr:wsDr>
</file>

<file path=xl/tables/table1.xml><?xml version="1.0" encoding="utf-8"?>
<table xmlns="http://schemas.openxmlformats.org/spreadsheetml/2006/main" id="5" name="Table5" displayName="Table5" ref="B5:G17" totalsRowShown="0" headerRowDxfId="142" headerRowBorderDxfId="141" tableBorderDxfId="140" totalsRowBorderDxfId="139">
  <autoFilter ref="B5:G17">
    <filterColumn colId="0" hiddenButton="1"/>
    <filterColumn colId="1" hiddenButton="1"/>
    <filterColumn colId="2" hiddenButton="1"/>
    <filterColumn colId="3" hiddenButton="1"/>
    <filterColumn colId="4" hiddenButton="1"/>
    <filterColumn colId="5" hiddenButton="1"/>
  </autoFilter>
  <tableColumns count="6">
    <tableColumn id="1" name="Section" dataDxfId="138"/>
    <tableColumn id="2" name="Score" dataDxfId="137"/>
    <tableColumn id="3" name="Total" dataDxfId="136"/>
    <tableColumn id="4" name="Current" dataDxfId="135" dataCellStyle="Percent">
      <calculatedColumnFormula>C6/D6</calculatedColumnFormula>
    </tableColumn>
    <tableColumn id="6" name="2014" dataDxfId="134" dataCellStyle="Percent"/>
    <tableColumn id="7" name="2013" dataDxfId="133" dataCellStyle="Percent"/>
  </tableColumns>
  <tableStyleInfo name="TableStyleMedium2" showFirstColumn="0" showLastColumn="0" showRowStripes="1" showColumnStripes="0"/>
</table>
</file>

<file path=xl/tables/table10.xml><?xml version="1.0" encoding="utf-8"?>
<table xmlns="http://schemas.openxmlformats.org/spreadsheetml/2006/main" id="14" name="Table14" displayName="Table14" ref="C5:I36" totalsRowShown="0" headerRowDxfId="44" dataDxfId="42" headerRowBorderDxfId="43" tableBorderDxfId="41" totalsRowBorderDxfId="40">
  <autoFilter ref="C5:I3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Task" dataDxfId="39"/>
    <tableColumn id="2" name="Deliverable" dataDxfId="38"/>
    <tableColumn id="3" name="Result" dataDxfId="37" dataCellStyle="Input"/>
    <tableColumn id="4" name="NC" dataDxfId="36">
      <calculatedColumnFormula>IF(Table14[[#This Row],[Result]]="NC","n","")</calculatedColumnFormula>
    </tableColumn>
    <tableColumn id="5" name="PC" dataDxfId="35">
      <calculatedColumnFormula>IF(Table14[[#This Row],[Result]]="PC","n","")</calculatedColumnFormula>
    </tableColumn>
    <tableColumn id="6" name="C" dataDxfId="34">
      <calculatedColumnFormula>IF(Table14[[#This Row],[Result]]="C","n","")</calculatedColumnFormula>
    </tableColumn>
    <tableColumn id="7" name="Recommendation" dataDxfId="33"/>
  </tableColumns>
  <tableStyleInfo name="TableStyleMedium2" showFirstColumn="0" showLastColumn="0" showRowStripes="1" showColumnStripes="0"/>
</table>
</file>

<file path=xl/tables/table11.xml><?xml version="1.0" encoding="utf-8"?>
<table xmlns="http://schemas.openxmlformats.org/spreadsheetml/2006/main" id="9" name="Table9" displayName="Table9" ref="C5:I21" totalsRowShown="0" headerRowDxfId="32" headerRowBorderDxfId="31" tableBorderDxfId="30" totalsRowBorderDxfId="29">
  <autoFilter ref="C5:I21">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Task" dataDxfId="28"/>
    <tableColumn id="2" name="Deliverable" dataDxfId="27"/>
    <tableColumn id="3" name="Result" dataDxfId="26" dataCellStyle="Input"/>
    <tableColumn id="4" name="NC" dataDxfId="25">
      <calculatedColumnFormula>IF(Table9[[#This Row],[Result]]="NC","n","")</calculatedColumnFormula>
    </tableColumn>
    <tableColumn id="5" name="PC" dataDxfId="24">
      <calculatedColumnFormula>IF(Table9[[#This Row],[Result]]="pC","n","")</calculatedColumnFormula>
    </tableColumn>
    <tableColumn id="6" name="C" dataDxfId="23">
      <calculatedColumnFormula>IF(Table9[[#This Row],[Result]]="C","n","")</calculatedColumnFormula>
    </tableColumn>
    <tableColumn id="7" name="Recommendation" dataDxfId="22"/>
  </tableColumns>
  <tableStyleInfo name="TableStyleMedium2" showFirstColumn="0" showLastColumn="0" showRowStripes="1" showColumnStripes="0"/>
</table>
</file>

<file path=xl/tables/table12.xml><?xml version="1.0" encoding="utf-8"?>
<table xmlns="http://schemas.openxmlformats.org/spreadsheetml/2006/main" id="6" name="Table97" displayName="Table97" ref="C5:I107" totalsRowShown="0" headerRowDxfId="21" headerRowBorderDxfId="20" tableBorderDxfId="19" totalsRowBorderDxfId="18">
  <autoFilter ref="C5:I10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Task" dataDxfId="17"/>
    <tableColumn id="2" name="Deliverable" dataDxfId="16"/>
    <tableColumn id="3" name="Result" dataDxfId="15" dataCellStyle="Input"/>
    <tableColumn id="4" name="NC" dataDxfId="14">
      <calculatedColumnFormula>IF(Table97[[#This Row],[Result]]="NC","n","")</calculatedColumnFormula>
    </tableColumn>
    <tableColumn id="5" name="PC" dataDxfId="13">
      <calculatedColumnFormula>IF(Table97[[#This Row],[Result]]="pC","n","")</calculatedColumnFormula>
    </tableColumn>
    <tableColumn id="6" name="C" dataDxfId="12">
      <calculatedColumnFormula>IF(Table97[[#This Row],[Result]]="C","n","")</calculatedColumnFormula>
    </tableColumn>
    <tableColumn id="7" name="Recommendation" dataDxfId="11"/>
  </tableColumns>
  <tableStyleInfo name="TableStyleMedium2" showFirstColumn="0" showLastColumn="0" showRowStripes="1" showColumnStripes="0"/>
</table>
</file>

<file path=xl/tables/table13.xml><?xml version="1.0" encoding="utf-8"?>
<table xmlns="http://schemas.openxmlformats.org/spreadsheetml/2006/main" id="11" name="Table9712" displayName="Table9712" ref="C5:I113" totalsRowShown="0" headerRowDxfId="10" headerRowBorderDxfId="9" tableBorderDxfId="8" totalsRowBorderDxfId="7">
  <autoFilter ref="C5:I11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Task" dataDxfId="6"/>
    <tableColumn id="2" name="Deliverable" dataDxfId="5"/>
    <tableColumn id="3" name="Result" dataDxfId="4" dataCellStyle="Input"/>
    <tableColumn id="4" name="NC" dataDxfId="3">
      <calculatedColumnFormula>IF(Table9712[[#This Row],[Result]]="NC","n","")</calculatedColumnFormula>
    </tableColumn>
    <tableColumn id="5" name="PC" dataDxfId="2">
      <calculatedColumnFormula>IF(Table9712[[#This Row],[Result]]="pC","n","")</calculatedColumnFormula>
    </tableColumn>
    <tableColumn id="6" name="C" dataDxfId="1">
      <calculatedColumnFormula>IF(Table9712[[#This Row],[Result]]="C","n","")</calculatedColumnFormula>
    </tableColumn>
    <tableColumn id="7" name="Recommendation" dataDxfId="0"/>
  </tableColumns>
  <tableStyleInfo name="TableStyleMedium2" showFirstColumn="0" showLastColumn="0" showRowStripes="1" showColumnStripes="0"/>
</table>
</file>

<file path=xl/tables/table2.xml><?xml version="1.0" encoding="utf-8"?>
<table xmlns="http://schemas.openxmlformats.org/spreadsheetml/2006/main" id="1" name="Table1" displayName="Table1" ref="C5:I19" totalsRowShown="0" headerRowDxfId="132" dataDxfId="130" headerRowBorderDxfId="131" tableBorderDxfId="129" totalsRowBorderDxfId="128">
  <autoFilter ref="C5:I1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Task" dataDxfId="127"/>
    <tableColumn id="2" name="Deliverable" dataDxfId="126"/>
    <tableColumn id="8" name="Result" dataDxfId="125" dataCellStyle="Input"/>
    <tableColumn id="4" name="NC" dataDxfId="124">
      <calculatedColumnFormula>IF(E6="nc","n","")</calculatedColumnFormula>
    </tableColumn>
    <tableColumn id="5" name="PC" dataDxfId="123">
      <calculatedColumnFormula>IF(E6="pc","n","")</calculatedColumnFormula>
    </tableColumn>
    <tableColumn id="6" name="C" dataDxfId="122">
      <calculatedColumnFormula>IF(E6="c","n","")</calculatedColumnFormula>
    </tableColumn>
    <tableColumn id="7" name="Recommendation" dataDxfId="121"/>
  </tableColumns>
  <tableStyleInfo name="TableStyleMedium2" showFirstColumn="0" showLastColumn="0" showRowStripes="1" showColumnStripes="0"/>
</table>
</file>

<file path=xl/tables/table3.xml><?xml version="1.0" encoding="utf-8"?>
<table xmlns="http://schemas.openxmlformats.org/spreadsheetml/2006/main" id="2" name="Table2" displayName="Table2" ref="C5:I56" totalsRowShown="0" headerRowDxfId="120" headerRowBorderDxfId="119" tableBorderDxfId="118" totalsRowBorderDxfId="117">
  <autoFilter ref="C5:I5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Task" dataDxfId="116"/>
    <tableColumn id="2" name="Deliverable" dataDxfId="115"/>
    <tableColumn id="8" name="Result" dataDxfId="114"/>
    <tableColumn id="4" name="NC" dataDxfId="113">
      <calculatedColumnFormula>IF(Table2[[#This Row],[Result]]="NC","n","")</calculatedColumnFormula>
    </tableColumn>
    <tableColumn id="5" name="PC" dataDxfId="112">
      <calculatedColumnFormula>IF(Table2[[#This Row],[Result]]="PC","n","")</calculatedColumnFormula>
    </tableColumn>
    <tableColumn id="6" name="C" dataDxfId="111">
      <calculatedColumnFormula>IF(Table2[[#This Row],[Result]]="C","n","")</calculatedColumnFormula>
    </tableColumn>
    <tableColumn id="7" name="Recommendation" dataDxfId="110"/>
  </tableColumns>
  <tableStyleInfo name="TableStyleMedium2" showFirstColumn="0" showLastColumn="0" showRowStripes="1" showColumnStripes="0"/>
</table>
</file>

<file path=xl/tables/table4.xml><?xml version="1.0" encoding="utf-8"?>
<table xmlns="http://schemas.openxmlformats.org/spreadsheetml/2006/main" id="4" name="Table4" displayName="Table4" ref="C5:I24" totalsRowShown="0" headerRowDxfId="109" dataDxfId="107" headerRowBorderDxfId="108" tableBorderDxfId="106" totalsRowBorderDxfId="105">
  <autoFilter ref="C5:I2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Task" dataDxfId="104"/>
    <tableColumn id="2" name="Deliverable" dataDxfId="103"/>
    <tableColumn id="3" name="Result" dataDxfId="102" dataCellStyle="Input"/>
    <tableColumn id="4" name="NC" dataDxfId="101">
      <calculatedColumnFormula>IF(Table4[[#This Row],[Result]]="NC","n","")</calculatedColumnFormula>
    </tableColumn>
    <tableColumn id="5" name="PC" dataDxfId="100">
      <calculatedColumnFormula>IF(Table4[[#This Row],[Result]]="pC","n","")</calculatedColumnFormula>
    </tableColumn>
    <tableColumn id="6" name="C" dataDxfId="99">
      <calculatedColumnFormula>IF(Table4[[#This Row],[Result]]="C","n","")</calculatedColumnFormula>
    </tableColumn>
    <tableColumn id="7" name="Recommendation" dataDxfId="98"/>
  </tableColumns>
  <tableStyleInfo name="TableStyleMedium2" showFirstColumn="0" showLastColumn="0" showRowStripes="1" showColumnStripes="0"/>
</table>
</file>

<file path=xl/tables/table5.xml><?xml version="1.0" encoding="utf-8"?>
<table xmlns="http://schemas.openxmlformats.org/spreadsheetml/2006/main" id="10" name="Table10" displayName="Table10" ref="C5:I20" totalsRowShown="0" headerRowDxfId="97" dataDxfId="95" headerRowBorderDxfId="96" tableBorderDxfId="94" totalsRowBorderDxfId="93">
  <autoFilter ref="C5:I2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Task" dataDxfId="92"/>
    <tableColumn id="2" name="Deliverable" dataDxfId="91"/>
    <tableColumn id="3" name="Result" dataDxfId="90" dataCellStyle="Input"/>
    <tableColumn id="4" name="NC" dataDxfId="89">
      <calculatedColumnFormula>IF(Table10[[#This Row],[Result]]="NC","n","")</calculatedColumnFormula>
    </tableColumn>
    <tableColumn id="5" name="PC" dataDxfId="88">
      <calculatedColumnFormula>IF(Table10[[#This Row],[Result]]="PC","n","")</calculatedColumnFormula>
    </tableColumn>
    <tableColumn id="6" name="C" dataDxfId="87">
      <calculatedColumnFormula>IF(Table10[[#This Row],[Result]]="C","n","")</calculatedColumnFormula>
    </tableColumn>
    <tableColumn id="7" name="Recommendation" dataDxfId="86"/>
  </tableColumns>
  <tableStyleInfo name="TableStyleMedium2" showFirstColumn="0" showLastColumn="0" showRowStripes="1" showColumnStripes="0"/>
</table>
</file>

<file path=xl/tables/table6.xml><?xml version="1.0" encoding="utf-8"?>
<table xmlns="http://schemas.openxmlformats.org/spreadsheetml/2006/main" id="12" name="Table12" displayName="Table12" ref="C5:I16" totalsRowShown="0" headerRowDxfId="85" headerRowBorderDxfId="84" tableBorderDxfId="83" totalsRowBorderDxfId="82">
  <autoFilter ref="C5:I1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Task" dataDxfId="81"/>
    <tableColumn id="2" name="Deliverable" dataDxfId="80"/>
    <tableColumn id="3" name="Result" dataDxfId="79" dataCellStyle="Input"/>
    <tableColumn id="4" name="NC" dataDxfId="78">
      <calculatedColumnFormula>IF(Table12[[#This Row],[Result]]="NC","n","")</calculatedColumnFormula>
    </tableColumn>
    <tableColumn id="5" name="PC" dataDxfId="77">
      <calculatedColumnFormula>IF(Table12[[#This Row],[Result]]="PC","n","")</calculatedColumnFormula>
    </tableColumn>
    <tableColumn id="6" name="C" dataDxfId="76">
      <calculatedColumnFormula>IF(Table12[[#This Row],[Result]]="C","n","")</calculatedColumnFormula>
    </tableColumn>
    <tableColumn id="7" name="Recommendation" dataDxfId="75"/>
  </tableColumns>
  <tableStyleInfo name="TableStyleMedium2" showFirstColumn="0" showLastColumn="0" showRowStripes="1" showColumnStripes="0"/>
</table>
</file>

<file path=xl/tables/table7.xml><?xml version="1.0" encoding="utf-8"?>
<table xmlns="http://schemas.openxmlformats.org/spreadsheetml/2006/main" id="7" name="Table7" displayName="Table7" ref="C5:I37" totalsRowShown="0" headerRowDxfId="74" tableBorderDxfId="73">
  <autoFilter ref="C5:I3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Task" dataDxfId="72"/>
    <tableColumn id="2" name="Deliverable" dataDxfId="71"/>
    <tableColumn id="3" name="Result" dataDxfId="70" dataCellStyle="Input"/>
    <tableColumn id="4" name="NC" dataDxfId="69">
      <calculatedColumnFormula>IF(Table7[[#This Row],[Result]]="NC","n","")</calculatedColumnFormula>
    </tableColumn>
    <tableColumn id="5" name="PC" dataDxfId="68">
      <calculatedColumnFormula>IF(Table7[[#This Row],[Result]]="PC","n","")</calculatedColumnFormula>
    </tableColumn>
    <tableColumn id="6" name="C" dataDxfId="67">
      <calculatedColumnFormula>IF(Table7[[#This Row],[Result]]="C","n","")</calculatedColumnFormula>
    </tableColumn>
    <tableColumn id="7" name="Recommendation"/>
  </tableColumns>
  <tableStyleInfo name="TableStyleMedium2" showFirstColumn="0" showLastColumn="0" showRowStripes="1" showColumnStripes="0"/>
</table>
</file>

<file path=xl/tables/table8.xml><?xml version="1.0" encoding="utf-8"?>
<table xmlns="http://schemas.openxmlformats.org/spreadsheetml/2006/main" id="3" name="Table3" displayName="Table3" ref="C5:I14" totalsRowShown="0" headerRowDxfId="66" headerRowBorderDxfId="65" tableBorderDxfId="64" totalsRowBorderDxfId="63">
  <autoFilter ref="C5:I1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Task" dataDxfId="62"/>
    <tableColumn id="2" name="Deliverable" dataDxfId="61"/>
    <tableColumn id="3" name="Result" dataDxfId="60" dataCellStyle="Input"/>
    <tableColumn id="4" name="NC" dataDxfId="59">
      <calculatedColumnFormula>IF(Table3[[#This Row],[Result]]="NC","n","")</calculatedColumnFormula>
    </tableColumn>
    <tableColumn id="5" name="PC" dataDxfId="58">
      <calculatedColumnFormula>IF(Table3[[#This Row],[Result]]="pC","n","")</calculatedColumnFormula>
    </tableColumn>
    <tableColumn id="6" name="C" dataDxfId="57">
      <calculatedColumnFormula>IF(Table3[[#This Row],[Result]]="C","n","")</calculatedColumnFormula>
    </tableColumn>
    <tableColumn id="7" name="Recommendation" dataDxfId="56"/>
  </tableColumns>
  <tableStyleInfo name="TableStyleMedium2" showFirstColumn="0" showLastColumn="0" showRowStripes="1" showColumnStripes="0"/>
</table>
</file>

<file path=xl/tables/table9.xml><?xml version="1.0" encoding="utf-8"?>
<table xmlns="http://schemas.openxmlformats.org/spreadsheetml/2006/main" id="8" name="Table8" displayName="Table8" ref="C5:I18" totalsRowShown="0" headerRowDxfId="55" dataDxfId="53" headerRowBorderDxfId="54" tableBorderDxfId="52">
  <autoFilter ref="C5:I1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Task" dataDxfId="51"/>
    <tableColumn id="2" name="Deliverable" dataDxfId="50"/>
    <tableColumn id="3" name="Result" dataDxfId="49" dataCellStyle="Input"/>
    <tableColumn id="4" name="NC" dataDxfId="48">
      <calculatedColumnFormula>IF(Table8[[#This Row],[Result]]="NC","n","")</calculatedColumnFormula>
    </tableColumn>
    <tableColumn id="5" name="PC" dataDxfId="47">
      <calculatedColumnFormula>IF(Table8[[#This Row],[Result]]="PC","n","")</calculatedColumnFormula>
    </tableColumn>
    <tableColumn id="6" name="C" dataDxfId="46">
      <calculatedColumnFormula>IF(Table8[[#This Row],[Result]]="C","n","")</calculatedColumnFormula>
    </tableColumn>
    <tableColumn id="7" name="Recommendation" dataDxfId="45"/>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1.v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1.bin"/><Relationship Id="rId4" Type="http://schemas.openxmlformats.org/officeDocument/2006/relationships/table" Target="../tables/table4.xml"/></Relationships>
</file>

<file path=xl/worksheets/_rels/sheet6.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vmlDrawing" Target="../drawings/vmlDrawing3.vml"/><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vmlDrawing" Target="../drawings/vmlDrawing4.vml"/><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8.xml"/><Relationship Id="rId1" Type="http://schemas.openxmlformats.org/officeDocument/2006/relationships/printerSettings" Target="../printerSettings/printerSettings2.bin"/><Relationship Id="rId4" Type="http://schemas.openxmlformats.org/officeDocument/2006/relationships/table" Target="../tables/table7.xml"/></Relationships>
</file>

<file path=xl/worksheets/_rels/sheet9.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vmlDrawing" Target="../drawings/vmlDrawing6.vml"/><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O55"/>
  <sheetViews>
    <sheetView showGridLines="0" tabSelected="1" workbookViewId="0">
      <selection activeCell="S14" sqref="S14"/>
    </sheetView>
  </sheetViews>
  <sheetFormatPr defaultRowHeight="15" x14ac:dyDescent="0.25"/>
  <sheetData>
    <row r="3" spans="3:15" ht="15" customHeight="1" x14ac:dyDescent="0.25">
      <c r="E3" s="195" t="s">
        <v>241</v>
      </c>
      <c r="F3" s="195"/>
      <c r="G3" s="195"/>
      <c r="H3" s="195"/>
      <c r="I3" s="195"/>
      <c r="J3" s="195"/>
      <c r="K3" s="195"/>
      <c r="L3" s="195"/>
      <c r="M3" s="195"/>
      <c r="N3" s="195"/>
    </row>
    <row r="4" spans="3:15" ht="15" customHeight="1" x14ac:dyDescent="0.25">
      <c r="E4" s="195"/>
      <c r="F4" s="195"/>
      <c r="G4" s="195"/>
      <c r="H4" s="195"/>
      <c r="I4" s="195"/>
      <c r="J4" s="195"/>
      <c r="K4" s="195"/>
      <c r="L4" s="195"/>
      <c r="M4" s="195"/>
      <c r="N4" s="195"/>
    </row>
    <row r="7" spans="3:15" ht="15" customHeight="1" x14ac:dyDescent="0.25">
      <c r="C7" s="196"/>
      <c r="D7" s="196"/>
      <c r="E7" s="196"/>
      <c r="F7" s="196"/>
      <c r="G7" s="196"/>
      <c r="H7" s="196"/>
      <c r="I7" s="196"/>
      <c r="J7" s="196"/>
      <c r="K7" s="196"/>
      <c r="L7" s="196"/>
      <c r="M7" s="196"/>
      <c r="N7" s="196"/>
      <c r="O7" s="190"/>
    </row>
    <row r="8" spans="3:15" x14ac:dyDescent="0.25">
      <c r="C8" s="196"/>
      <c r="D8" s="196"/>
      <c r="E8" s="196"/>
      <c r="F8" s="196"/>
      <c r="G8" s="196"/>
      <c r="H8" s="196"/>
      <c r="I8" s="196"/>
      <c r="J8" s="196"/>
      <c r="K8" s="196"/>
      <c r="L8" s="196"/>
      <c r="M8" s="196"/>
      <c r="N8" s="196"/>
      <c r="O8" s="190"/>
    </row>
    <row r="9" spans="3:15" ht="17.25" customHeight="1" x14ac:dyDescent="0.25">
      <c r="C9" s="196"/>
      <c r="D9" s="196"/>
      <c r="E9" s="196"/>
      <c r="F9" s="196"/>
      <c r="G9" s="196"/>
      <c r="H9" s="196"/>
      <c r="I9" s="196"/>
      <c r="J9" s="196"/>
      <c r="K9" s="196"/>
      <c r="L9" s="196"/>
      <c r="M9" s="196"/>
      <c r="N9" s="196"/>
      <c r="O9" s="190"/>
    </row>
    <row r="10" spans="3:15" ht="51.75" customHeight="1" x14ac:dyDescent="0.25">
      <c r="C10" s="196"/>
      <c r="D10" s="196"/>
      <c r="E10" s="196"/>
      <c r="F10" s="196"/>
      <c r="G10" s="196"/>
      <c r="H10" s="196"/>
      <c r="I10" s="196"/>
      <c r="J10" s="196"/>
      <c r="K10" s="196"/>
      <c r="L10" s="196"/>
      <c r="M10" s="196"/>
      <c r="N10" s="196"/>
      <c r="O10" s="190"/>
    </row>
    <row r="11" spans="3:15" x14ac:dyDescent="0.25">
      <c r="C11" s="196"/>
      <c r="D11" s="196"/>
      <c r="E11" s="196"/>
      <c r="F11" s="196"/>
      <c r="G11" s="196"/>
      <c r="H11" s="196"/>
      <c r="I11" s="196"/>
      <c r="J11" s="196"/>
      <c r="K11" s="196"/>
      <c r="L11" s="196"/>
      <c r="M11" s="196"/>
      <c r="N11" s="196"/>
      <c r="O11" s="190"/>
    </row>
    <row r="12" spans="3:15" x14ac:dyDescent="0.25">
      <c r="C12" s="191"/>
      <c r="D12" s="190"/>
      <c r="E12" s="190"/>
      <c r="F12" s="190"/>
      <c r="G12" s="190"/>
      <c r="H12" s="190"/>
      <c r="I12" s="190"/>
      <c r="J12" s="190"/>
      <c r="K12" s="190"/>
      <c r="L12" s="190"/>
      <c r="M12" s="190"/>
      <c r="N12" s="190"/>
      <c r="O12" s="190"/>
    </row>
    <row r="13" spans="3:15" x14ac:dyDescent="0.25">
      <c r="C13" s="190"/>
      <c r="D13" s="190"/>
      <c r="E13" s="190"/>
      <c r="F13" s="190"/>
      <c r="G13" s="190"/>
      <c r="H13" s="190"/>
      <c r="I13" s="190"/>
      <c r="J13" s="190"/>
      <c r="K13" s="190"/>
      <c r="L13" s="190"/>
      <c r="M13" s="190"/>
      <c r="N13" s="190"/>
      <c r="O13" s="190"/>
    </row>
    <row r="14" spans="3:15" x14ac:dyDescent="0.25">
      <c r="C14" s="190"/>
      <c r="D14" s="190"/>
      <c r="E14" s="190"/>
      <c r="F14" s="190"/>
      <c r="G14" s="190"/>
      <c r="H14" s="190"/>
      <c r="I14" s="190"/>
      <c r="J14" s="190"/>
      <c r="K14" s="190"/>
      <c r="L14" s="190"/>
      <c r="M14" s="190"/>
      <c r="N14" s="190"/>
      <c r="O14" s="190"/>
    </row>
    <row r="15" spans="3:15" x14ac:dyDescent="0.25">
      <c r="C15" s="190"/>
      <c r="D15" s="190"/>
      <c r="E15" s="190"/>
      <c r="F15" s="190"/>
      <c r="G15" s="190"/>
      <c r="H15" s="190"/>
      <c r="I15" s="190"/>
      <c r="J15" s="190"/>
      <c r="K15" s="190"/>
      <c r="L15" s="190"/>
      <c r="M15" s="190"/>
      <c r="N15" s="190"/>
      <c r="O15" s="190"/>
    </row>
    <row r="16" spans="3:15" x14ac:dyDescent="0.25">
      <c r="C16" s="190"/>
      <c r="D16" s="190"/>
      <c r="E16" s="190"/>
      <c r="F16" s="190"/>
      <c r="G16" s="190"/>
      <c r="H16" s="190"/>
      <c r="I16" s="190"/>
      <c r="J16" s="190"/>
      <c r="K16" s="190"/>
      <c r="L16" s="190"/>
      <c r="M16" s="190"/>
      <c r="N16" s="190"/>
      <c r="O16" s="190"/>
    </row>
    <row r="17" spans="3:15" x14ac:dyDescent="0.25">
      <c r="C17" s="190"/>
      <c r="D17" s="190"/>
      <c r="E17" s="190"/>
      <c r="F17" s="190"/>
      <c r="G17" s="190"/>
      <c r="H17" s="190"/>
      <c r="I17" s="190"/>
      <c r="J17" s="190"/>
      <c r="K17" s="190"/>
      <c r="L17" s="190"/>
      <c r="M17" s="190"/>
      <c r="N17" s="190"/>
      <c r="O17" s="190"/>
    </row>
    <row r="18" spans="3:15" x14ac:dyDescent="0.25">
      <c r="C18" s="190"/>
      <c r="D18" s="190"/>
      <c r="E18" s="190"/>
      <c r="F18" s="190"/>
      <c r="G18" s="190"/>
      <c r="H18" s="190"/>
      <c r="I18" s="190"/>
      <c r="J18" s="190"/>
      <c r="K18" s="190"/>
      <c r="L18" s="190"/>
      <c r="M18" s="190"/>
      <c r="N18" s="190"/>
      <c r="O18" s="190"/>
    </row>
    <row r="19" spans="3:15" x14ac:dyDescent="0.25">
      <c r="C19" s="190"/>
      <c r="D19" s="190"/>
      <c r="E19" s="190"/>
      <c r="F19" s="190"/>
      <c r="G19" s="190"/>
      <c r="H19" s="190"/>
      <c r="I19" s="190"/>
      <c r="J19" s="190"/>
      <c r="K19" s="190"/>
      <c r="L19" s="190"/>
      <c r="M19" s="190"/>
      <c r="N19" s="190"/>
      <c r="O19" s="190"/>
    </row>
    <row r="20" spans="3:15" x14ac:dyDescent="0.25">
      <c r="C20" s="190"/>
      <c r="D20" s="190"/>
      <c r="E20" s="190"/>
      <c r="F20" s="190"/>
      <c r="G20" s="190"/>
      <c r="H20" s="190"/>
      <c r="I20" s="190"/>
      <c r="J20" s="190"/>
      <c r="K20" s="190"/>
      <c r="L20" s="190"/>
      <c r="M20" s="190"/>
      <c r="N20" s="190"/>
      <c r="O20" s="190"/>
    </row>
    <row r="21" spans="3:15" x14ac:dyDescent="0.25">
      <c r="C21" s="190"/>
      <c r="D21" s="190"/>
      <c r="E21" s="190"/>
      <c r="F21" s="190"/>
      <c r="G21" s="190"/>
      <c r="H21" s="190"/>
      <c r="I21" s="190"/>
      <c r="J21" s="190"/>
      <c r="K21" s="190"/>
      <c r="L21" s="190"/>
      <c r="M21" s="190"/>
      <c r="N21" s="190"/>
      <c r="O21" s="190"/>
    </row>
    <row r="22" spans="3:15" x14ac:dyDescent="0.25">
      <c r="C22" s="190"/>
      <c r="D22" s="190"/>
      <c r="E22" s="190"/>
      <c r="F22" s="190"/>
      <c r="G22" s="190"/>
      <c r="H22" s="190"/>
      <c r="I22" s="190"/>
      <c r="J22" s="190"/>
      <c r="K22" s="190"/>
      <c r="L22" s="190"/>
      <c r="M22" s="190"/>
      <c r="N22" s="190"/>
      <c r="O22" s="190"/>
    </row>
    <row r="23" spans="3:15" x14ac:dyDescent="0.25">
      <c r="C23" s="190"/>
      <c r="D23" s="190"/>
      <c r="E23" s="190"/>
      <c r="F23" s="190"/>
      <c r="G23" s="190"/>
      <c r="H23" s="190"/>
      <c r="I23" s="190"/>
      <c r="J23" s="190"/>
      <c r="K23" s="190"/>
      <c r="L23" s="190"/>
      <c r="M23" s="190"/>
      <c r="N23" s="190"/>
      <c r="O23" s="190"/>
    </row>
    <row r="24" spans="3:15" x14ac:dyDescent="0.25">
      <c r="C24" s="190"/>
      <c r="D24" s="190"/>
      <c r="E24" s="190"/>
      <c r="F24" s="190"/>
      <c r="G24" s="190"/>
      <c r="H24" s="190"/>
      <c r="I24" s="190"/>
      <c r="J24" s="190"/>
      <c r="K24" s="190"/>
      <c r="L24" s="190"/>
      <c r="M24" s="190"/>
      <c r="N24" s="190"/>
      <c r="O24" s="190"/>
    </row>
    <row r="25" spans="3:15" x14ac:dyDescent="0.25">
      <c r="C25" s="190"/>
      <c r="D25" s="190"/>
      <c r="E25" s="190"/>
      <c r="F25" s="190"/>
      <c r="G25" s="190"/>
      <c r="H25" s="190"/>
      <c r="I25" s="190"/>
      <c r="J25" s="190"/>
      <c r="K25" s="190"/>
      <c r="L25" s="190"/>
      <c r="M25" s="190"/>
      <c r="N25" s="190"/>
      <c r="O25" s="190"/>
    </row>
    <row r="26" spans="3:15" x14ac:dyDescent="0.25">
      <c r="C26" s="190"/>
      <c r="D26" s="190"/>
      <c r="E26" s="190"/>
      <c r="F26" s="190"/>
      <c r="G26" s="190"/>
      <c r="H26" s="190"/>
      <c r="I26" s="190"/>
      <c r="J26" s="190"/>
      <c r="K26" s="190"/>
      <c r="L26" s="190"/>
      <c r="M26" s="190"/>
      <c r="N26" s="190"/>
      <c r="O26" s="190"/>
    </row>
    <row r="27" spans="3:15" x14ac:dyDescent="0.25">
      <c r="C27" s="190"/>
      <c r="D27" s="190"/>
      <c r="E27" s="190"/>
      <c r="F27" s="190"/>
      <c r="G27" s="190"/>
      <c r="H27" s="190"/>
      <c r="I27" s="190"/>
      <c r="J27" s="190"/>
      <c r="K27" s="190"/>
      <c r="L27" s="190"/>
      <c r="M27" s="190"/>
      <c r="N27" s="190"/>
      <c r="O27" s="190"/>
    </row>
    <row r="37" spans="4:11" ht="47.25" customHeight="1" x14ac:dyDescent="0.25">
      <c r="D37" s="194"/>
      <c r="E37" s="194"/>
      <c r="F37" s="194"/>
      <c r="G37" s="194"/>
      <c r="H37" s="194"/>
      <c r="I37" s="194"/>
      <c r="J37" s="194"/>
      <c r="K37" s="194"/>
    </row>
    <row r="52" spans="4:4" x14ac:dyDescent="0.25">
      <c r="D52" s="165" t="s">
        <v>5</v>
      </c>
    </row>
    <row r="53" spans="4:4" x14ac:dyDescent="0.25">
      <c r="D53" s="165" t="s">
        <v>6</v>
      </c>
    </row>
    <row r="54" spans="4:4" x14ac:dyDescent="0.25">
      <c r="D54" s="165" t="s">
        <v>7</v>
      </c>
    </row>
    <row r="55" spans="4:4" x14ac:dyDescent="0.25">
      <c r="D55" s="165"/>
    </row>
  </sheetData>
  <sheetProtection algorithmName="SHA-512" hashValue="IrmOxv7VWXZAJBdsG///A7oLUzLpt6MIcz0wlMOzAY5ptL0BpZlSbeLwt81kaOIf+mNbWasOrRoQMNYzfiLMXw==" saltValue="qGs+oAfDYedk8smwYAwo2Q==" spinCount="100000" sheet="1" objects="1" scenarios="1" selectLockedCells="1"/>
  <mergeCells count="5">
    <mergeCell ref="D37:K37"/>
    <mergeCell ref="E3:N4"/>
    <mergeCell ref="C7:N9"/>
    <mergeCell ref="C10:N10"/>
    <mergeCell ref="C11:N11"/>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1"/>
  <sheetViews>
    <sheetView showGridLines="0" zoomScaleNormal="100" workbookViewId="0">
      <selection activeCell="E12" sqref="E12"/>
    </sheetView>
  </sheetViews>
  <sheetFormatPr defaultRowHeight="15" x14ac:dyDescent="0.25"/>
  <cols>
    <col min="1" max="1" width="7.7109375" style="13" customWidth="1"/>
    <col min="2" max="2" width="1.7109375" customWidth="1"/>
    <col min="3" max="3" width="6.7109375" customWidth="1"/>
    <col min="4" max="4" width="100.7109375" customWidth="1"/>
    <col min="5" max="8" width="7.7109375" customWidth="1"/>
    <col min="9" max="9" width="100.7109375" customWidth="1"/>
  </cols>
  <sheetData>
    <row r="2" spans="1:9" x14ac:dyDescent="0.25">
      <c r="D2" s="206" t="s">
        <v>430</v>
      </c>
      <c r="E2" s="206"/>
      <c r="F2" s="206"/>
      <c r="G2" s="206"/>
      <c r="H2" s="206"/>
    </row>
    <row r="3" spans="1:9" x14ac:dyDescent="0.25">
      <c r="D3" s="206"/>
      <c r="E3" s="206"/>
      <c r="F3" s="206"/>
      <c r="G3" s="206"/>
      <c r="H3" s="206"/>
    </row>
    <row r="5" spans="1:9" ht="30" customHeight="1" x14ac:dyDescent="0.25">
      <c r="C5" s="15" t="s">
        <v>0</v>
      </c>
      <c r="D5" s="5" t="s">
        <v>4</v>
      </c>
      <c r="E5" s="16" t="s">
        <v>332</v>
      </c>
      <c r="F5" s="87" t="s">
        <v>5</v>
      </c>
      <c r="G5" s="9" t="s">
        <v>6</v>
      </c>
      <c r="H5" s="88" t="s">
        <v>7</v>
      </c>
      <c r="I5" s="85" t="s">
        <v>56</v>
      </c>
    </row>
    <row r="6" spans="1:9" ht="30" customHeight="1" x14ac:dyDescent="0.25">
      <c r="A6" s="215" t="s">
        <v>431</v>
      </c>
      <c r="C6" s="37" t="s">
        <v>436</v>
      </c>
      <c r="D6" s="12" t="s">
        <v>432</v>
      </c>
      <c r="E6" s="67" t="s">
        <v>7</v>
      </c>
      <c r="F6" s="76" t="str">
        <f>IF(Table8[[#This Row],[Result]]="NC","n","")</f>
        <v/>
      </c>
      <c r="G6" s="41" t="str">
        <f>IF(Table8[[#This Row],[Result]]="PC","n","")</f>
        <v/>
      </c>
      <c r="H6" s="77" t="str">
        <f>IF(Table8[[#This Row],[Result]]="C","n","")</f>
        <v>n</v>
      </c>
      <c r="I6" s="146"/>
    </row>
    <row r="7" spans="1:9" ht="30" customHeight="1" x14ac:dyDescent="0.25">
      <c r="A7" s="215"/>
      <c r="C7" s="37" t="s">
        <v>437</v>
      </c>
      <c r="D7" s="12" t="s">
        <v>72</v>
      </c>
      <c r="E7" s="67" t="s">
        <v>7</v>
      </c>
      <c r="F7" s="76" t="str">
        <f>IF(Table8[[#This Row],[Result]]="NC","n","")</f>
        <v/>
      </c>
      <c r="G7" s="41" t="str">
        <f>IF(Table8[[#This Row],[Result]]="PC","n","")</f>
        <v/>
      </c>
      <c r="H7" s="77" t="str">
        <f>IF(Table8[[#This Row],[Result]]="C","n","")</f>
        <v>n</v>
      </c>
      <c r="I7" s="146"/>
    </row>
    <row r="8" spans="1:9" ht="30" customHeight="1" x14ac:dyDescent="0.25">
      <c r="A8" s="215"/>
      <c r="C8" s="37" t="s">
        <v>438</v>
      </c>
      <c r="D8" s="12" t="s">
        <v>73</v>
      </c>
      <c r="E8" s="67" t="s">
        <v>6</v>
      </c>
      <c r="F8" s="76" t="str">
        <f>IF(Table8[[#This Row],[Result]]="NC","n","")</f>
        <v/>
      </c>
      <c r="G8" s="41" t="str">
        <f>IF(Table8[[#This Row],[Result]]="PC","n","")</f>
        <v>n</v>
      </c>
      <c r="H8" s="77" t="str">
        <f>IF(Table8[[#This Row],[Result]]="C","n","")</f>
        <v/>
      </c>
      <c r="I8" s="146"/>
    </row>
    <row r="9" spans="1:9" ht="30" customHeight="1" x14ac:dyDescent="0.25">
      <c r="A9" s="215" t="s">
        <v>27</v>
      </c>
      <c r="C9" s="37" t="s">
        <v>439</v>
      </c>
      <c r="D9" s="12" t="s">
        <v>69</v>
      </c>
      <c r="E9" s="67" t="s">
        <v>7</v>
      </c>
      <c r="F9" s="76" t="str">
        <f>IF(Table8[[#This Row],[Result]]="NC","n","")</f>
        <v/>
      </c>
      <c r="G9" s="41" t="str">
        <f>IF(Table8[[#This Row],[Result]]="PC","n","")</f>
        <v/>
      </c>
      <c r="H9" s="77" t="str">
        <f>IF(Table8[[#This Row],[Result]]="C","n","")</f>
        <v>n</v>
      </c>
      <c r="I9" s="146"/>
    </row>
    <row r="10" spans="1:9" ht="30" customHeight="1" x14ac:dyDescent="0.25">
      <c r="A10" s="215"/>
      <c r="C10" s="37" t="s">
        <v>440</v>
      </c>
      <c r="D10" s="12" t="s">
        <v>182</v>
      </c>
      <c r="E10" s="67" t="s">
        <v>6</v>
      </c>
      <c r="F10" s="76" t="str">
        <f>IF(Table8[[#This Row],[Result]]="NC","n","")</f>
        <v/>
      </c>
      <c r="G10" s="41" t="str">
        <f>IF(Table8[[#This Row],[Result]]="PC","n","")</f>
        <v>n</v>
      </c>
      <c r="H10" s="77" t="str">
        <f>IF(Table8[[#This Row],[Result]]="C","n","")</f>
        <v/>
      </c>
      <c r="I10" s="146"/>
    </row>
    <row r="11" spans="1:9" ht="30" customHeight="1" x14ac:dyDescent="0.25">
      <c r="A11" s="215"/>
      <c r="C11" s="37" t="s">
        <v>441</v>
      </c>
      <c r="D11" s="12" t="s">
        <v>433</v>
      </c>
      <c r="E11" s="67" t="s">
        <v>7</v>
      </c>
      <c r="F11" s="76" t="str">
        <f>IF(Table8[[#This Row],[Result]]="NC","n","")</f>
        <v/>
      </c>
      <c r="G11" s="41" t="str">
        <f>IF(Table8[[#This Row],[Result]]="PC","n","")</f>
        <v/>
      </c>
      <c r="H11" s="77" t="str">
        <f>IF(Table8[[#This Row],[Result]]="C","n","")</f>
        <v>n</v>
      </c>
      <c r="I11" s="146"/>
    </row>
    <row r="12" spans="1:9" ht="30" customHeight="1" x14ac:dyDescent="0.25">
      <c r="A12" s="215"/>
      <c r="C12" s="37" t="s">
        <v>442</v>
      </c>
      <c r="D12" s="12" t="s">
        <v>70</v>
      </c>
      <c r="E12" s="67" t="s">
        <v>7</v>
      </c>
      <c r="F12" s="76" t="str">
        <f>IF(Table8[[#This Row],[Result]]="NC","n","")</f>
        <v/>
      </c>
      <c r="G12" s="41" t="str">
        <f>IF(Table8[[#This Row],[Result]]="PC","n","")</f>
        <v/>
      </c>
      <c r="H12" s="77" t="str">
        <f>IF(Table8[[#This Row],[Result]]="C","n","")</f>
        <v>n</v>
      </c>
      <c r="I12" s="146"/>
    </row>
    <row r="13" spans="1:9" ht="30" customHeight="1" x14ac:dyDescent="0.25">
      <c r="A13" s="215"/>
      <c r="C13" s="37" t="s">
        <v>443</v>
      </c>
      <c r="D13" s="12" t="s">
        <v>434</v>
      </c>
      <c r="E13" s="67" t="s">
        <v>7</v>
      </c>
      <c r="F13" s="76" t="str">
        <f>IF(Table8[[#This Row],[Result]]="NC","n","")</f>
        <v/>
      </c>
      <c r="G13" s="41" t="str">
        <f>IF(Table8[[#This Row],[Result]]="PC","n","")</f>
        <v/>
      </c>
      <c r="H13" s="77" t="str">
        <f>IF(Table8[[#This Row],[Result]]="C","n","")</f>
        <v>n</v>
      </c>
      <c r="I13" s="146"/>
    </row>
    <row r="14" spans="1:9" ht="30" customHeight="1" x14ac:dyDescent="0.25">
      <c r="A14" s="215"/>
      <c r="C14" s="37" t="s">
        <v>444</v>
      </c>
      <c r="D14" s="12" t="s">
        <v>181</v>
      </c>
      <c r="E14" s="67" t="s">
        <v>5</v>
      </c>
      <c r="F14" s="76" t="str">
        <f>IF(Table8[[#This Row],[Result]]="NC","n","")</f>
        <v>n</v>
      </c>
      <c r="G14" s="41" t="str">
        <f>IF(Table8[[#This Row],[Result]]="PC","n","")</f>
        <v/>
      </c>
      <c r="H14" s="77" t="str">
        <f>IF(Table8[[#This Row],[Result]]="C","n","")</f>
        <v/>
      </c>
      <c r="I14" s="146"/>
    </row>
    <row r="15" spans="1:9" ht="30" customHeight="1" x14ac:dyDescent="0.25">
      <c r="A15" s="215"/>
      <c r="C15" s="37" t="s">
        <v>445</v>
      </c>
      <c r="D15" s="12" t="s">
        <v>71</v>
      </c>
      <c r="E15" s="67" t="s">
        <v>5</v>
      </c>
      <c r="F15" s="76" t="str">
        <f>IF(Table8[[#This Row],[Result]]="NC","n","")</f>
        <v>n</v>
      </c>
      <c r="G15" s="41" t="str">
        <f>IF(Table8[[#This Row],[Result]]="PC","n","")</f>
        <v/>
      </c>
      <c r="H15" s="77" t="str">
        <f>IF(Table8[[#This Row],[Result]]="C","n","")</f>
        <v/>
      </c>
      <c r="I15" s="146"/>
    </row>
    <row r="16" spans="1:9" ht="30" customHeight="1" x14ac:dyDescent="0.25">
      <c r="A16" s="209" t="s">
        <v>28</v>
      </c>
      <c r="C16" s="37" t="s">
        <v>446</v>
      </c>
      <c r="D16" s="12" t="s">
        <v>74</v>
      </c>
      <c r="E16" s="67" t="s">
        <v>7</v>
      </c>
      <c r="F16" s="76" t="str">
        <f>IF(Table8[[#This Row],[Result]]="NC","n","")</f>
        <v/>
      </c>
      <c r="G16" s="41" t="str">
        <f>IF(Table8[[#This Row],[Result]]="PC","n","")</f>
        <v/>
      </c>
      <c r="H16" s="77" t="str">
        <f>IF(Table8[[#This Row],[Result]]="C","n","")</f>
        <v>n</v>
      </c>
      <c r="I16" s="146"/>
    </row>
    <row r="17" spans="1:9" ht="30" customHeight="1" x14ac:dyDescent="0.25">
      <c r="A17" s="210"/>
      <c r="C17" s="37" t="s">
        <v>447</v>
      </c>
      <c r="D17" s="145" t="s">
        <v>435</v>
      </c>
      <c r="E17" s="67" t="s">
        <v>5</v>
      </c>
      <c r="F17" s="76" t="str">
        <f>IF(Table8[[#This Row],[Result]]="NC","n","")</f>
        <v>n</v>
      </c>
      <c r="G17" s="41" t="str">
        <f>IF(Table8[[#This Row],[Result]]="PC","n","")</f>
        <v/>
      </c>
      <c r="H17" s="77" t="str">
        <f>IF(Table8[[#This Row],[Result]]="C","n","")</f>
        <v/>
      </c>
      <c r="I17" s="146"/>
    </row>
    <row r="18" spans="1:9" ht="30" customHeight="1" x14ac:dyDescent="0.25">
      <c r="A18" s="211"/>
      <c r="C18" s="66" t="s">
        <v>448</v>
      </c>
      <c r="D18" s="147" t="s">
        <v>180</v>
      </c>
      <c r="E18" s="144" t="s">
        <v>7</v>
      </c>
      <c r="F18" s="98" t="str">
        <f>IF(Table8[[#This Row],[Result]]="NC","n","")</f>
        <v/>
      </c>
      <c r="G18" s="99" t="str">
        <f>IF(Table8[[#This Row],[Result]]="PC","n","")</f>
        <v/>
      </c>
      <c r="H18" s="100" t="str">
        <f>IF(Table8[[#This Row],[Result]]="C","n","")</f>
        <v>n</v>
      </c>
      <c r="I18" s="148"/>
    </row>
    <row r="19" spans="1:9" ht="15.75" thickBot="1" x14ac:dyDescent="0.3">
      <c r="D19" s="207" t="s">
        <v>257</v>
      </c>
      <c r="E19" s="207"/>
      <c r="F19" s="102">
        <f>COUNTIF(Table8[NC],"n")</f>
        <v>3</v>
      </c>
      <c r="G19" s="103">
        <f>COUNTIF(Table8[PC],"n")</f>
        <v>2</v>
      </c>
      <c r="H19" s="104">
        <f>COUNTIF(Table8[C],"n")</f>
        <v>8</v>
      </c>
    </row>
    <row r="20" spans="1:9" ht="16.5" thickTop="1" thickBot="1" x14ac:dyDescent="0.3">
      <c r="D20" s="207" t="s">
        <v>258</v>
      </c>
      <c r="E20" s="207"/>
      <c r="F20" s="105">
        <f>F19*0</f>
        <v>0</v>
      </c>
      <c r="G20" s="106">
        <f>G19*1</f>
        <v>2</v>
      </c>
      <c r="H20" s="107">
        <f>H19*3</f>
        <v>24</v>
      </c>
    </row>
    <row r="21" spans="1:9" x14ac:dyDescent="0.25">
      <c r="D21" s="207" t="s">
        <v>1</v>
      </c>
      <c r="E21" s="207"/>
      <c r="F21" s="101">
        <f>SUM(F20:H20)</f>
        <v>26</v>
      </c>
      <c r="G21" s="108" t="s">
        <v>517</v>
      </c>
      <c r="H21" s="101"/>
    </row>
  </sheetData>
  <sheetProtection algorithmName="SHA-512" hashValue="hcrHfmhSrgkbCu7/FCRDDsCFgvB2wV6RPcHHzLswPnMKWtw0oHgrN9HRsOLa8IV1JoIsI2xueHxh4+vGG/WA4Q==" saltValue="F6AJTIMdRU0K1FbWTnvxsA==" spinCount="100000" sheet="1" objects="1" scenarios="1" selectLockedCells="1"/>
  <mergeCells count="7">
    <mergeCell ref="D2:H3"/>
    <mergeCell ref="D19:E19"/>
    <mergeCell ref="D20:E20"/>
    <mergeCell ref="D21:E21"/>
    <mergeCell ref="A6:A8"/>
    <mergeCell ref="A9:A15"/>
    <mergeCell ref="A16:A18"/>
  </mergeCells>
  <dataValidations count="1">
    <dataValidation type="list" allowBlank="1" showInputMessage="1" showErrorMessage="1" prompt="Please enter either NC for a Non Conformance, PC for a Partial Conformance or C for a Conformance" sqref="E6:E18">
      <formula1>Result</formula1>
    </dataValidation>
  </dataValidations>
  <pageMargins left="0.7" right="0.7" top="0.75" bottom="0.75" header="0.3" footer="0.3"/>
  <drawing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9"/>
  <sheetViews>
    <sheetView showGridLines="0" zoomScaleNormal="100" workbookViewId="0">
      <selection activeCell="E10" sqref="E10"/>
    </sheetView>
  </sheetViews>
  <sheetFormatPr defaultRowHeight="15" x14ac:dyDescent="0.25"/>
  <cols>
    <col min="1" max="1" width="7.7109375" style="13" customWidth="1"/>
    <col min="2" max="2" width="1.7109375" customWidth="1"/>
    <col min="3" max="3" width="6.7109375" style="3" customWidth="1"/>
    <col min="4" max="4" width="100.7109375" style="26" customWidth="1"/>
    <col min="5" max="8" width="7.7109375" customWidth="1"/>
    <col min="9" max="9" width="100.7109375" customWidth="1"/>
  </cols>
  <sheetData>
    <row r="2" spans="1:9" x14ac:dyDescent="0.25">
      <c r="D2" s="206" t="s">
        <v>481</v>
      </c>
      <c r="E2" s="206"/>
      <c r="F2" s="206"/>
      <c r="G2" s="206"/>
      <c r="H2" s="206"/>
    </row>
    <row r="3" spans="1:9" x14ac:dyDescent="0.25">
      <c r="D3" s="206"/>
      <c r="E3" s="206"/>
      <c r="F3" s="206"/>
      <c r="G3" s="206"/>
      <c r="H3" s="206"/>
    </row>
    <row r="4" spans="1:9" ht="15.75" thickBot="1" x14ac:dyDescent="0.3"/>
    <row r="5" spans="1:9" ht="30" customHeight="1" x14ac:dyDescent="0.25">
      <c r="C5" s="150" t="s">
        <v>0</v>
      </c>
      <c r="D5" s="18" t="s">
        <v>4</v>
      </c>
      <c r="E5" s="153" t="s">
        <v>332</v>
      </c>
      <c r="F5" s="115" t="s">
        <v>5</v>
      </c>
      <c r="G5" s="116" t="s">
        <v>6</v>
      </c>
      <c r="H5" s="117" t="s">
        <v>7</v>
      </c>
      <c r="I5" s="154" t="s">
        <v>56</v>
      </c>
    </row>
    <row r="6" spans="1:9" ht="30" customHeight="1" x14ac:dyDescent="0.25">
      <c r="A6" s="209" t="s">
        <v>55</v>
      </c>
      <c r="C6" s="151" t="s">
        <v>449</v>
      </c>
      <c r="D6" s="22" t="s">
        <v>219</v>
      </c>
      <c r="E6" s="67" t="s">
        <v>6</v>
      </c>
      <c r="F6" s="157" t="str">
        <f>IF(Table14[[#This Row],[Result]]="NC","n","")</f>
        <v/>
      </c>
      <c r="G6" s="149" t="str">
        <f>IF(Table14[[#This Row],[Result]]="PC","n","")</f>
        <v>n</v>
      </c>
      <c r="H6" s="158" t="str">
        <f>IF(Table14[[#This Row],[Result]]="C","n","")</f>
        <v/>
      </c>
      <c r="I6" s="155"/>
    </row>
    <row r="7" spans="1:9" ht="30" customHeight="1" x14ac:dyDescent="0.25">
      <c r="A7" s="210"/>
      <c r="C7" s="151" t="s">
        <v>450</v>
      </c>
      <c r="D7" s="22" t="s">
        <v>218</v>
      </c>
      <c r="E7" s="67" t="s">
        <v>7</v>
      </c>
      <c r="F7" s="157" t="str">
        <f>IF(Table14[[#This Row],[Result]]="NC","n","")</f>
        <v/>
      </c>
      <c r="G7" s="149" t="str">
        <f>IF(Table14[[#This Row],[Result]]="PC","n","")</f>
        <v/>
      </c>
      <c r="H7" s="158" t="str">
        <f>IF(Table14[[#This Row],[Result]]="C","n","")</f>
        <v>n</v>
      </c>
      <c r="I7" s="155"/>
    </row>
    <row r="8" spans="1:9" ht="30" customHeight="1" x14ac:dyDescent="0.25">
      <c r="A8" s="210"/>
      <c r="C8" s="151" t="s">
        <v>451</v>
      </c>
      <c r="D8" s="22" t="s">
        <v>122</v>
      </c>
      <c r="E8" s="67" t="s">
        <v>6</v>
      </c>
      <c r="F8" s="157" t="str">
        <f>IF(Table14[[#This Row],[Result]]="NC","n","")</f>
        <v/>
      </c>
      <c r="G8" s="149" t="str">
        <f>IF(Table14[[#This Row],[Result]]="PC","n","")</f>
        <v>n</v>
      </c>
      <c r="H8" s="158" t="str">
        <f>IF(Table14[[#This Row],[Result]]="C","n","")</f>
        <v/>
      </c>
      <c r="I8" s="155"/>
    </row>
    <row r="9" spans="1:9" ht="30" customHeight="1" x14ac:dyDescent="0.25">
      <c r="A9" s="211"/>
      <c r="C9" s="151" t="s">
        <v>452</v>
      </c>
      <c r="D9" s="22" t="s">
        <v>123</v>
      </c>
      <c r="E9" s="67" t="s">
        <v>6</v>
      </c>
      <c r="F9" s="157" t="str">
        <f>IF(Table14[[#This Row],[Result]]="NC","n","")</f>
        <v/>
      </c>
      <c r="G9" s="149" t="str">
        <f>IF(Table14[[#This Row],[Result]]="PC","n","")</f>
        <v>n</v>
      </c>
      <c r="H9" s="158" t="str">
        <f>IF(Table14[[#This Row],[Result]]="C","n","")</f>
        <v/>
      </c>
      <c r="I9" s="155"/>
    </row>
    <row r="10" spans="1:9" ht="30" customHeight="1" x14ac:dyDescent="0.25">
      <c r="A10" s="209" t="s">
        <v>40</v>
      </c>
      <c r="C10" s="151" t="s">
        <v>453</v>
      </c>
      <c r="D10" s="28" t="s">
        <v>124</v>
      </c>
      <c r="E10" s="67" t="s">
        <v>6</v>
      </c>
      <c r="F10" s="157" t="str">
        <f>IF(Table14[[#This Row],[Result]]="NC","n","")</f>
        <v/>
      </c>
      <c r="G10" s="149" t="str">
        <f>IF(Table14[[#This Row],[Result]]="PC","n","")</f>
        <v>n</v>
      </c>
      <c r="H10" s="158" t="str">
        <f>IF(Table14[[#This Row],[Result]]="C","n","")</f>
        <v/>
      </c>
      <c r="I10" s="155"/>
    </row>
    <row r="11" spans="1:9" ht="30" customHeight="1" x14ac:dyDescent="0.25">
      <c r="A11" s="210"/>
      <c r="C11" s="151" t="s">
        <v>454</v>
      </c>
      <c r="D11" s="22" t="s">
        <v>125</v>
      </c>
      <c r="E11" s="67" t="s">
        <v>7</v>
      </c>
      <c r="F11" s="157" t="str">
        <f>IF(Table14[[#This Row],[Result]]="NC","n","")</f>
        <v/>
      </c>
      <c r="G11" s="149" t="str">
        <f>IF(Table14[[#This Row],[Result]]="PC","n","")</f>
        <v/>
      </c>
      <c r="H11" s="158" t="str">
        <f>IF(Table14[[#This Row],[Result]]="C","n","")</f>
        <v>n</v>
      </c>
      <c r="I11" s="155"/>
    </row>
    <row r="12" spans="1:9" ht="30" customHeight="1" x14ac:dyDescent="0.25">
      <c r="A12" s="210"/>
      <c r="C12" s="151" t="s">
        <v>455</v>
      </c>
      <c r="D12" s="22" t="s">
        <v>220</v>
      </c>
      <c r="E12" s="67" t="s">
        <v>5</v>
      </c>
      <c r="F12" s="157" t="str">
        <f>IF(Table14[[#This Row],[Result]]="NC","n","")</f>
        <v>n</v>
      </c>
      <c r="G12" s="149" t="str">
        <f>IF(Table14[[#This Row],[Result]]="PC","n","")</f>
        <v/>
      </c>
      <c r="H12" s="158" t="str">
        <f>IF(Table14[[#This Row],[Result]]="C","n","")</f>
        <v/>
      </c>
      <c r="I12" s="155"/>
    </row>
    <row r="13" spans="1:9" ht="30" customHeight="1" x14ac:dyDescent="0.25">
      <c r="A13" s="210"/>
      <c r="C13" s="151" t="s">
        <v>456</v>
      </c>
      <c r="D13" s="22" t="s">
        <v>126</v>
      </c>
      <c r="E13" s="67" t="s">
        <v>7</v>
      </c>
      <c r="F13" s="157" t="str">
        <f>IF(Table14[[#This Row],[Result]]="NC","n","")</f>
        <v/>
      </c>
      <c r="G13" s="149" t="str">
        <f>IF(Table14[[#This Row],[Result]]="PC","n","")</f>
        <v/>
      </c>
      <c r="H13" s="158" t="str">
        <f>IF(Table14[[#This Row],[Result]]="C","n","")</f>
        <v>n</v>
      </c>
      <c r="I13" s="155"/>
    </row>
    <row r="14" spans="1:9" ht="30" customHeight="1" x14ac:dyDescent="0.25">
      <c r="A14" s="210"/>
      <c r="C14" s="151" t="s">
        <v>457</v>
      </c>
      <c r="D14" s="22" t="s">
        <v>127</v>
      </c>
      <c r="E14" s="67" t="s">
        <v>7</v>
      </c>
      <c r="F14" s="157" t="str">
        <f>IF(Table14[[#This Row],[Result]]="NC","n","")</f>
        <v/>
      </c>
      <c r="G14" s="149" t="str">
        <f>IF(Table14[[#This Row],[Result]]="PC","n","")</f>
        <v/>
      </c>
      <c r="H14" s="158" t="str">
        <f>IF(Table14[[#This Row],[Result]]="C","n","")</f>
        <v>n</v>
      </c>
      <c r="I14" s="155"/>
    </row>
    <row r="15" spans="1:9" ht="46.15" customHeight="1" x14ac:dyDescent="0.25">
      <c r="A15" s="211"/>
      <c r="C15" s="151" t="s">
        <v>458</v>
      </c>
      <c r="D15" s="22" t="s">
        <v>221</v>
      </c>
      <c r="E15" s="67" t="s">
        <v>5</v>
      </c>
      <c r="F15" s="157" t="str">
        <f>IF(Table14[[#This Row],[Result]]="NC","n","")</f>
        <v>n</v>
      </c>
      <c r="G15" s="149" t="str">
        <f>IF(Table14[[#This Row],[Result]]="PC","n","")</f>
        <v/>
      </c>
      <c r="H15" s="158" t="str">
        <f>IF(Table14[[#This Row],[Result]]="C","n","")</f>
        <v/>
      </c>
      <c r="I15" s="155"/>
    </row>
    <row r="16" spans="1:9" ht="30" customHeight="1" x14ac:dyDescent="0.25">
      <c r="A16" s="215" t="s">
        <v>51</v>
      </c>
      <c r="C16" s="151" t="s">
        <v>459</v>
      </c>
      <c r="D16" s="22" t="s">
        <v>222</v>
      </c>
      <c r="E16" s="67" t="s">
        <v>7</v>
      </c>
      <c r="F16" s="157" t="str">
        <f>IF(Table14[[#This Row],[Result]]="NC","n","")</f>
        <v/>
      </c>
      <c r="G16" s="149" t="str">
        <f>IF(Table14[[#This Row],[Result]]="PC","n","")</f>
        <v/>
      </c>
      <c r="H16" s="158" t="str">
        <f>IF(Table14[[#This Row],[Result]]="C","n","")</f>
        <v>n</v>
      </c>
      <c r="I16" s="155"/>
    </row>
    <row r="17" spans="1:9" ht="30" customHeight="1" x14ac:dyDescent="0.25">
      <c r="A17" s="215"/>
      <c r="C17" s="151" t="s">
        <v>460</v>
      </c>
      <c r="D17" s="22" t="s">
        <v>52</v>
      </c>
      <c r="E17" s="67" t="s">
        <v>7</v>
      </c>
      <c r="F17" s="157" t="str">
        <f>IF(Table14[[#This Row],[Result]]="NC","n","")</f>
        <v/>
      </c>
      <c r="G17" s="149" t="str">
        <f>IF(Table14[[#This Row],[Result]]="PC","n","")</f>
        <v/>
      </c>
      <c r="H17" s="158" t="str">
        <f>IF(Table14[[#This Row],[Result]]="C","n","")</f>
        <v>n</v>
      </c>
      <c r="I17" s="155"/>
    </row>
    <row r="18" spans="1:9" ht="30" customHeight="1" x14ac:dyDescent="0.25">
      <c r="A18" s="209" t="s">
        <v>43</v>
      </c>
      <c r="C18" s="151" t="s">
        <v>461</v>
      </c>
      <c r="D18" s="22" t="s">
        <v>41</v>
      </c>
      <c r="E18" s="67" t="s">
        <v>5</v>
      </c>
      <c r="F18" s="157" t="str">
        <f>IF(Table14[[#This Row],[Result]]="NC","n","")</f>
        <v>n</v>
      </c>
      <c r="G18" s="149" t="str">
        <f>IF(Table14[[#This Row],[Result]]="PC","n","")</f>
        <v/>
      </c>
      <c r="H18" s="158" t="str">
        <f>IF(Table14[[#This Row],[Result]]="C","n","")</f>
        <v/>
      </c>
      <c r="I18" s="155"/>
    </row>
    <row r="19" spans="1:9" ht="30" customHeight="1" x14ac:dyDescent="0.25">
      <c r="A19" s="211"/>
      <c r="C19" s="151" t="s">
        <v>462</v>
      </c>
      <c r="D19" s="22" t="s">
        <v>42</v>
      </c>
      <c r="E19" s="67" t="s">
        <v>7</v>
      </c>
      <c r="F19" s="157" t="str">
        <f>IF(Table14[[#This Row],[Result]]="NC","n","")</f>
        <v/>
      </c>
      <c r="G19" s="149" t="str">
        <f>IF(Table14[[#This Row],[Result]]="PC","n","")</f>
        <v/>
      </c>
      <c r="H19" s="158" t="str">
        <f>IF(Table14[[#This Row],[Result]]="C","n","")</f>
        <v>n</v>
      </c>
      <c r="I19" s="155"/>
    </row>
    <row r="20" spans="1:9" ht="30" customHeight="1" x14ac:dyDescent="0.25">
      <c r="A20" s="215" t="s">
        <v>47</v>
      </c>
      <c r="C20" s="151" t="s">
        <v>463</v>
      </c>
      <c r="D20" s="22" t="s">
        <v>224</v>
      </c>
      <c r="E20" s="67" t="s">
        <v>7</v>
      </c>
      <c r="F20" s="157" t="str">
        <f>IF(Table14[[#This Row],[Result]]="NC","n","")</f>
        <v/>
      </c>
      <c r="G20" s="149" t="str">
        <f>IF(Table14[[#This Row],[Result]]="PC","n","")</f>
        <v/>
      </c>
      <c r="H20" s="158" t="str">
        <f>IF(Table14[[#This Row],[Result]]="C","n","")</f>
        <v>n</v>
      </c>
      <c r="I20" s="155"/>
    </row>
    <row r="21" spans="1:9" ht="30" customHeight="1" x14ac:dyDescent="0.25">
      <c r="A21" s="215"/>
      <c r="C21" s="151" t="s">
        <v>464</v>
      </c>
      <c r="D21" s="22" t="s">
        <v>223</v>
      </c>
      <c r="E21" s="67" t="s">
        <v>6</v>
      </c>
      <c r="F21" s="157" t="str">
        <f>IF(Table14[[#This Row],[Result]]="NC","n","")</f>
        <v/>
      </c>
      <c r="G21" s="149" t="str">
        <f>IF(Table14[[#This Row],[Result]]="PC","n","")</f>
        <v>n</v>
      </c>
      <c r="H21" s="158" t="str">
        <f>IF(Table14[[#This Row],[Result]]="C","n","")</f>
        <v/>
      </c>
      <c r="I21" s="155"/>
    </row>
    <row r="22" spans="1:9" ht="30" customHeight="1" x14ac:dyDescent="0.25">
      <c r="A22" s="215"/>
      <c r="C22" s="151" t="s">
        <v>465</v>
      </c>
      <c r="D22" s="22" t="s">
        <v>128</v>
      </c>
      <c r="E22" s="67" t="s">
        <v>7</v>
      </c>
      <c r="F22" s="157" t="str">
        <f>IF(Table14[[#This Row],[Result]]="NC","n","")</f>
        <v/>
      </c>
      <c r="G22" s="149" t="str">
        <f>IF(Table14[[#This Row],[Result]]="PC","n","")</f>
        <v/>
      </c>
      <c r="H22" s="158" t="str">
        <f>IF(Table14[[#This Row],[Result]]="C","n","")</f>
        <v>n</v>
      </c>
      <c r="I22" s="155"/>
    </row>
    <row r="23" spans="1:9" ht="30" customHeight="1" x14ac:dyDescent="0.25">
      <c r="A23" s="215" t="s">
        <v>49</v>
      </c>
      <c r="C23" s="151" t="s">
        <v>466</v>
      </c>
      <c r="D23" s="22" t="s">
        <v>50</v>
      </c>
      <c r="E23" s="67" t="s">
        <v>7</v>
      </c>
      <c r="F23" s="157" t="str">
        <f>IF(Table14[[#This Row],[Result]]="NC","n","")</f>
        <v/>
      </c>
      <c r="G23" s="149" t="str">
        <f>IF(Table14[[#This Row],[Result]]="PC","n","")</f>
        <v/>
      </c>
      <c r="H23" s="158" t="str">
        <f>IF(Table14[[#This Row],[Result]]="C","n","")</f>
        <v>n</v>
      </c>
      <c r="I23" s="155"/>
    </row>
    <row r="24" spans="1:9" ht="30" customHeight="1" x14ac:dyDescent="0.25">
      <c r="A24" s="215"/>
      <c r="C24" s="151" t="s">
        <v>467</v>
      </c>
      <c r="D24" s="22" t="s">
        <v>129</v>
      </c>
      <c r="E24" s="67" t="s">
        <v>7</v>
      </c>
      <c r="F24" s="157" t="str">
        <f>IF(Table14[[#This Row],[Result]]="NC","n","")</f>
        <v/>
      </c>
      <c r="G24" s="149" t="str">
        <f>IF(Table14[[#This Row],[Result]]="PC","n","")</f>
        <v/>
      </c>
      <c r="H24" s="158" t="str">
        <f>IF(Table14[[#This Row],[Result]]="C","n","")</f>
        <v>n</v>
      </c>
      <c r="I24" s="155"/>
    </row>
    <row r="25" spans="1:9" ht="30" customHeight="1" x14ac:dyDescent="0.25">
      <c r="A25" s="215"/>
      <c r="C25" s="151" t="s">
        <v>468</v>
      </c>
      <c r="D25" s="22" t="s">
        <v>48</v>
      </c>
      <c r="E25" s="67" t="s">
        <v>6</v>
      </c>
      <c r="F25" s="157" t="str">
        <f>IF(Table14[[#This Row],[Result]]="NC","n","")</f>
        <v/>
      </c>
      <c r="G25" s="149" t="str">
        <f>IF(Table14[[#This Row],[Result]]="PC","n","")</f>
        <v>n</v>
      </c>
      <c r="H25" s="158" t="str">
        <f>IF(Table14[[#This Row],[Result]]="C","n","")</f>
        <v/>
      </c>
      <c r="I25" s="155"/>
    </row>
    <row r="26" spans="1:9" ht="30" customHeight="1" x14ac:dyDescent="0.25">
      <c r="A26" s="215"/>
      <c r="C26" s="151" t="s">
        <v>469</v>
      </c>
      <c r="D26" s="22" t="s">
        <v>130</v>
      </c>
      <c r="E26" s="67" t="s">
        <v>7</v>
      </c>
      <c r="F26" s="157" t="str">
        <f>IF(Table14[[#This Row],[Result]]="NC","n","")</f>
        <v/>
      </c>
      <c r="G26" s="149" t="str">
        <f>IF(Table14[[#This Row],[Result]]="PC","n","")</f>
        <v/>
      </c>
      <c r="H26" s="158" t="str">
        <f>IF(Table14[[#This Row],[Result]]="C","n","")</f>
        <v>n</v>
      </c>
      <c r="I26" s="155"/>
    </row>
    <row r="27" spans="1:9" ht="30" customHeight="1" x14ac:dyDescent="0.25">
      <c r="A27" s="209" t="s">
        <v>45</v>
      </c>
      <c r="C27" s="151" t="s">
        <v>470</v>
      </c>
      <c r="D27" s="22" t="s">
        <v>131</v>
      </c>
      <c r="E27" s="67" t="s">
        <v>5</v>
      </c>
      <c r="F27" s="157" t="str">
        <f>IF(Table14[[#This Row],[Result]]="NC","n","")</f>
        <v>n</v>
      </c>
      <c r="G27" s="149" t="str">
        <f>IF(Table14[[#This Row],[Result]]="PC","n","")</f>
        <v/>
      </c>
      <c r="H27" s="158" t="str">
        <f>IF(Table14[[#This Row],[Result]]="C","n","")</f>
        <v/>
      </c>
      <c r="I27" s="155"/>
    </row>
    <row r="28" spans="1:9" ht="30" customHeight="1" x14ac:dyDescent="0.25">
      <c r="A28" s="211"/>
      <c r="C28" s="151" t="s">
        <v>471</v>
      </c>
      <c r="D28" s="22" t="s">
        <v>132</v>
      </c>
      <c r="E28" s="67" t="s">
        <v>7</v>
      </c>
      <c r="F28" s="157" t="str">
        <f>IF(Table14[[#This Row],[Result]]="NC","n","")</f>
        <v/>
      </c>
      <c r="G28" s="149" t="str">
        <f>IF(Table14[[#This Row],[Result]]="PC","n","")</f>
        <v/>
      </c>
      <c r="H28" s="158" t="str">
        <f>IF(Table14[[#This Row],[Result]]="C","n","")</f>
        <v>n</v>
      </c>
      <c r="I28" s="155"/>
    </row>
    <row r="29" spans="1:9" ht="30" customHeight="1" x14ac:dyDescent="0.25">
      <c r="A29" s="215" t="s">
        <v>46</v>
      </c>
      <c r="C29" s="151" t="s">
        <v>472</v>
      </c>
      <c r="D29" s="22" t="s">
        <v>510</v>
      </c>
      <c r="E29" s="67" t="s">
        <v>5</v>
      </c>
      <c r="F29" s="157" t="str">
        <f>IF(Table14[[#This Row],[Result]]="NC","n","")</f>
        <v>n</v>
      </c>
      <c r="G29" s="149" t="str">
        <f>IF(Table14[[#This Row],[Result]]="PC","n","")</f>
        <v/>
      </c>
      <c r="H29" s="158" t="str">
        <f>IF(Table14[[#This Row],[Result]]="C","n","")</f>
        <v/>
      </c>
      <c r="I29" s="155"/>
    </row>
    <row r="30" spans="1:9" ht="30" customHeight="1" x14ac:dyDescent="0.25">
      <c r="A30" s="215"/>
      <c r="C30" s="151" t="s">
        <v>473</v>
      </c>
      <c r="D30" s="22" t="s">
        <v>44</v>
      </c>
      <c r="E30" s="67" t="s">
        <v>5</v>
      </c>
      <c r="F30" s="157" t="str">
        <f>IF(Table14[[#This Row],[Result]]="NC","n","")</f>
        <v>n</v>
      </c>
      <c r="G30" s="149" t="str">
        <f>IF(Table14[[#This Row],[Result]]="PC","n","")</f>
        <v/>
      </c>
      <c r="H30" s="158" t="str">
        <f>IF(Table14[[#This Row],[Result]]="C","n","")</f>
        <v/>
      </c>
      <c r="I30" s="155"/>
    </row>
    <row r="31" spans="1:9" ht="30" customHeight="1" x14ac:dyDescent="0.25">
      <c r="A31" s="215"/>
      <c r="C31" s="151" t="s">
        <v>474</v>
      </c>
      <c r="D31" s="22" t="s">
        <v>511</v>
      </c>
      <c r="E31" s="67" t="s">
        <v>5</v>
      </c>
      <c r="F31" s="157" t="str">
        <f>IF(Table14[[#This Row],[Result]]="NC","n","")</f>
        <v>n</v>
      </c>
      <c r="G31" s="149" t="str">
        <f>IF(Table14[[#This Row],[Result]]="PC","n","")</f>
        <v/>
      </c>
      <c r="H31" s="158" t="str">
        <f>IF(Table14[[#This Row],[Result]]="C","n","")</f>
        <v/>
      </c>
      <c r="I31" s="155"/>
    </row>
    <row r="32" spans="1:9" ht="30" customHeight="1" x14ac:dyDescent="0.25">
      <c r="A32" s="215"/>
      <c r="C32" s="151" t="s">
        <v>475</v>
      </c>
      <c r="D32" s="22" t="s">
        <v>133</v>
      </c>
      <c r="E32" s="67" t="s">
        <v>5</v>
      </c>
      <c r="F32" s="157" t="str">
        <f>IF(Table14[[#This Row],[Result]]="NC","n","")</f>
        <v>n</v>
      </c>
      <c r="G32" s="149" t="str">
        <f>IF(Table14[[#This Row],[Result]]="PC","n","")</f>
        <v/>
      </c>
      <c r="H32" s="158" t="str">
        <f>IF(Table14[[#This Row],[Result]]="C","n","")</f>
        <v/>
      </c>
      <c r="I32" s="155"/>
    </row>
    <row r="33" spans="1:9" ht="30" customHeight="1" x14ac:dyDescent="0.25">
      <c r="A33" s="215" t="s">
        <v>53</v>
      </c>
      <c r="C33" s="151" t="s">
        <v>476</v>
      </c>
      <c r="D33" s="22" t="s">
        <v>54</v>
      </c>
      <c r="E33" s="67" t="s">
        <v>7</v>
      </c>
      <c r="F33" s="157" t="str">
        <f>IF(Table14[[#This Row],[Result]]="NC","n","")</f>
        <v/>
      </c>
      <c r="G33" s="149" t="str">
        <f>IF(Table14[[#This Row],[Result]]="PC","n","")</f>
        <v/>
      </c>
      <c r="H33" s="158" t="str">
        <f>IF(Table14[[#This Row],[Result]]="C","n","")</f>
        <v>n</v>
      </c>
      <c r="I33" s="155"/>
    </row>
    <row r="34" spans="1:9" ht="30" customHeight="1" x14ac:dyDescent="0.25">
      <c r="A34" s="215"/>
      <c r="C34" s="151" t="s">
        <v>477</v>
      </c>
      <c r="D34" s="22" t="s">
        <v>225</v>
      </c>
      <c r="E34" s="67" t="s">
        <v>7</v>
      </c>
      <c r="F34" s="157" t="str">
        <f>IF(Table14[[#This Row],[Result]]="NC","n","")</f>
        <v/>
      </c>
      <c r="G34" s="149" t="str">
        <f>IF(Table14[[#This Row],[Result]]="PC","n","")</f>
        <v/>
      </c>
      <c r="H34" s="158" t="str">
        <f>IF(Table14[[#This Row],[Result]]="C","n","")</f>
        <v>n</v>
      </c>
      <c r="I34" s="155"/>
    </row>
    <row r="35" spans="1:9" ht="30" customHeight="1" x14ac:dyDescent="0.25">
      <c r="A35" s="215"/>
      <c r="C35" s="151" t="s">
        <v>478</v>
      </c>
      <c r="D35" s="22" t="s">
        <v>226</v>
      </c>
      <c r="E35" s="67" t="s">
        <v>6</v>
      </c>
      <c r="F35" s="157" t="str">
        <f>IF(Table14[[#This Row],[Result]]="NC","n","")</f>
        <v/>
      </c>
      <c r="G35" s="149" t="str">
        <f>IF(Table14[[#This Row],[Result]]="PC","n","")</f>
        <v>n</v>
      </c>
      <c r="H35" s="158" t="str">
        <f>IF(Table14[[#This Row],[Result]]="C","n","")</f>
        <v/>
      </c>
      <c r="I35" s="155"/>
    </row>
    <row r="36" spans="1:9" ht="30" customHeight="1" thickBot="1" x14ac:dyDescent="0.3">
      <c r="A36" s="215"/>
      <c r="C36" s="152" t="s">
        <v>479</v>
      </c>
      <c r="D36" s="29" t="s">
        <v>227</v>
      </c>
      <c r="E36" s="144" t="s">
        <v>7</v>
      </c>
      <c r="F36" s="159" t="str">
        <f>IF(Table14[[#This Row],[Result]]="NC","n","")</f>
        <v/>
      </c>
      <c r="G36" s="160" t="str">
        <f>IF(Table14[[#This Row],[Result]]="PC","n","")</f>
        <v/>
      </c>
      <c r="H36" s="161" t="str">
        <f>IF(Table14[[#This Row],[Result]]="C","n","")</f>
        <v>n</v>
      </c>
      <c r="I36" s="156"/>
    </row>
    <row r="37" spans="1:9" ht="15.75" thickBot="1" x14ac:dyDescent="0.3">
      <c r="D37" s="217" t="s">
        <v>257</v>
      </c>
      <c r="E37" s="217"/>
      <c r="F37" s="124">
        <f>COUNTIF(Table14[NC],"n")</f>
        <v>8</v>
      </c>
      <c r="G37" s="125">
        <f>COUNTIF(Table14[PC],"n")</f>
        <v>7</v>
      </c>
      <c r="H37" s="126">
        <f>COUNTIF(Table14[C],"n")</f>
        <v>16</v>
      </c>
    </row>
    <row r="38" spans="1:9" ht="16.5" thickTop="1" thickBot="1" x14ac:dyDescent="0.3">
      <c r="D38" s="217" t="s">
        <v>258</v>
      </c>
      <c r="E38" s="217"/>
      <c r="F38" s="105">
        <f>F37*0</f>
        <v>0</v>
      </c>
      <c r="G38" s="106">
        <f>G37*1</f>
        <v>7</v>
      </c>
      <c r="H38" s="107">
        <f>H37*3</f>
        <v>48</v>
      </c>
    </row>
    <row r="39" spans="1:9" x14ac:dyDescent="0.25">
      <c r="D39" s="217" t="s">
        <v>1</v>
      </c>
      <c r="E39" s="217"/>
      <c r="F39" s="101">
        <f>SUM(F38:H38)</f>
        <v>55</v>
      </c>
      <c r="G39" s="108" t="s">
        <v>480</v>
      </c>
      <c r="H39" s="101"/>
    </row>
  </sheetData>
  <sheetProtection algorithmName="SHA-512" hashValue="o93ARp9DzqNG8zOhnXeC1O8DAWBa9QszVjfUel2B+U18OxMmlhsqlB9NkTB5/c2JzV57yRuyw+tpPJ65P6F4qA==" saltValue="9hCUXJSSHLHOOs3dYlInJQ==" spinCount="100000" sheet="1" objects="1" scenarios="1" selectLockedCells="1"/>
  <mergeCells count="13">
    <mergeCell ref="D37:E37"/>
    <mergeCell ref="D38:E38"/>
    <mergeCell ref="D39:E39"/>
    <mergeCell ref="D2:H3"/>
    <mergeCell ref="A33:A36"/>
    <mergeCell ref="A18:A19"/>
    <mergeCell ref="A27:A28"/>
    <mergeCell ref="A29:A32"/>
    <mergeCell ref="A6:A9"/>
    <mergeCell ref="A20:A22"/>
    <mergeCell ref="A23:A26"/>
    <mergeCell ref="A16:A17"/>
    <mergeCell ref="A10:A15"/>
  </mergeCells>
  <dataValidations xWindow="871" yWindow="546" count="1">
    <dataValidation type="list" allowBlank="1" showInputMessage="1" showErrorMessage="1" prompt="Please enter either NC for a Non Conformance, PC for a Partial Conformance or C for a Conformance" sqref="E6:E36">
      <formula1>Result</formula1>
    </dataValidation>
  </dataValidations>
  <pageMargins left="0.7" right="0.7" top="0.75" bottom="0.75" header="0.3" footer="0.3"/>
  <drawing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4"/>
  <sheetViews>
    <sheetView showGridLines="0" zoomScaleNormal="100" workbookViewId="0">
      <selection activeCell="E6" sqref="E6"/>
    </sheetView>
  </sheetViews>
  <sheetFormatPr defaultRowHeight="15" x14ac:dyDescent="0.25"/>
  <cols>
    <col min="1" max="1" width="7.7109375" style="13" customWidth="1"/>
    <col min="2" max="2" width="1.7109375" customWidth="1"/>
    <col min="3" max="3" width="6.7109375" customWidth="1"/>
    <col min="4" max="4" width="100.7109375" style="1" customWidth="1"/>
    <col min="5" max="8" width="7.7109375" customWidth="1"/>
    <col min="9" max="9" width="100.7109375" customWidth="1"/>
  </cols>
  <sheetData>
    <row r="2" spans="1:9" x14ac:dyDescent="0.25">
      <c r="D2" s="206" t="s">
        <v>500</v>
      </c>
      <c r="E2" s="206"/>
      <c r="F2" s="206"/>
      <c r="G2" s="206"/>
      <c r="H2" s="206"/>
    </row>
    <row r="3" spans="1:9" x14ac:dyDescent="0.25">
      <c r="D3" s="206"/>
      <c r="E3" s="206"/>
      <c r="F3" s="206"/>
      <c r="G3" s="206"/>
      <c r="H3" s="206"/>
    </row>
    <row r="5" spans="1:9" ht="30" customHeight="1" x14ac:dyDescent="0.25">
      <c r="C5" s="15" t="s">
        <v>0</v>
      </c>
      <c r="D5" s="134" t="s">
        <v>4</v>
      </c>
      <c r="E5" s="16" t="s">
        <v>332</v>
      </c>
      <c r="F5" s="87" t="s">
        <v>5</v>
      </c>
      <c r="G5" s="9" t="s">
        <v>6</v>
      </c>
      <c r="H5" s="88" t="s">
        <v>7</v>
      </c>
      <c r="I5" s="95" t="s">
        <v>56</v>
      </c>
    </row>
    <row r="6" spans="1:9" ht="30" customHeight="1" x14ac:dyDescent="0.25">
      <c r="A6" s="215" t="s">
        <v>20</v>
      </c>
      <c r="C6" s="33" t="s">
        <v>482</v>
      </c>
      <c r="D6" s="7" t="s">
        <v>134</v>
      </c>
      <c r="E6" s="84" t="s">
        <v>6</v>
      </c>
      <c r="F6" s="89" t="str">
        <f>IF(Table9[[#This Row],[Result]]="NC","n","")</f>
        <v/>
      </c>
      <c r="G6" s="42" t="str">
        <f>IF(Table9[[#This Row],[Result]]="pC","n","")</f>
        <v>n</v>
      </c>
      <c r="H6" s="90" t="str">
        <f>IF(Table9[[#This Row],[Result]]="C","n","")</f>
        <v/>
      </c>
      <c r="I6" s="86"/>
    </row>
    <row r="7" spans="1:9" ht="30" customHeight="1" x14ac:dyDescent="0.25">
      <c r="A7" s="215"/>
      <c r="C7" s="33" t="s">
        <v>483</v>
      </c>
      <c r="D7" s="7" t="s">
        <v>135</v>
      </c>
      <c r="E7" s="84" t="s">
        <v>7</v>
      </c>
      <c r="F7" s="89" t="str">
        <f>IF(Table9[[#This Row],[Result]]="NC","n","")</f>
        <v/>
      </c>
      <c r="G7" s="42" t="str">
        <f>IF(Table9[[#This Row],[Result]]="pC","n","")</f>
        <v/>
      </c>
      <c r="H7" s="90" t="str">
        <f>IF(Table9[[#This Row],[Result]]="C","n","")</f>
        <v>n</v>
      </c>
      <c r="I7" s="86"/>
    </row>
    <row r="8" spans="1:9" ht="30" customHeight="1" x14ac:dyDescent="0.25">
      <c r="A8" s="215"/>
      <c r="C8" s="33" t="s">
        <v>484</v>
      </c>
      <c r="D8" s="7" t="s">
        <v>229</v>
      </c>
      <c r="E8" s="84" t="s">
        <v>7</v>
      </c>
      <c r="F8" s="89" t="str">
        <f>IF(Table9[[#This Row],[Result]]="NC","n","")</f>
        <v/>
      </c>
      <c r="G8" s="42" t="str">
        <f>IF(Table9[[#This Row],[Result]]="pC","n","")</f>
        <v/>
      </c>
      <c r="H8" s="90" t="str">
        <f>IF(Table9[[#This Row],[Result]]="C","n","")</f>
        <v>n</v>
      </c>
      <c r="I8" s="86"/>
    </row>
    <row r="9" spans="1:9" ht="30" customHeight="1" x14ac:dyDescent="0.25">
      <c r="A9" s="215"/>
      <c r="C9" s="33" t="s">
        <v>485</v>
      </c>
      <c r="D9" s="7" t="s">
        <v>228</v>
      </c>
      <c r="E9" s="84" t="s">
        <v>7</v>
      </c>
      <c r="F9" s="89" t="str">
        <f>IF(Table9[[#This Row],[Result]]="NC","n","")</f>
        <v/>
      </c>
      <c r="G9" s="42" t="str">
        <f>IF(Table9[[#This Row],[Result]]="pC","n","")</f>
        <v/>
      </c>
      <c r="H9" s="90" t="str">
        <f>IF(Table9[[#This Row],[Result]]="C","n","")</f>
        <v>n</v>
      </c>
      <c r="I9" s="86"/>
    </row>
    <row r="10" spans="1:9" ht="30" customHeight="1" x14ac:dyDescent="0.25">
      <c r="A10" s="215"/>
      <c r="C10" s="33" t="s">
        <v>486</v>
      </c>
      <c r="D10" s="7" t="s">
        <v>136</v>
      </c>
      <c r="E10" s="84" t="s">
        <v>6</v>
      </c>
      <c r="F10" s="89" t="str">
        <f>IF(Table9[[#This Row],[Result]]="NC","n","")</f>
        <v/>
      </c>
      <c r="G10" s="42" t="str">
        <f>IF(Table9[[#This Row],[Result]]="pC","n","")</f>
        <v>n</v>
      </c>
      <c r="H10" s="90" t="str">
        <f>IF(Table9[[#This Row],[Result]]="C","n","")</f>
        <v/>
      </c>
      <c r="I10" s="86"/>
    </row>
    <row r="11" spans="1:9" ht="30" customHeight="1" x14ac:dyDescent="0.25">
      <c r="A11" s="215"/>
      <c r="C11" s="33" t="s">
        <v>487</v>
      </c>
      <c r="D11" s="7" t="s">
        <v>499</v>
      </c>
      <c r="E11" s="84" t="s">
        <v>5</v>
      </c>
      <c r="F11" s="89" t="str">
        <f>IF(Table9[[#This Row],[Result]]="NC","n","")</f>
        <v>n</v>
      </c>
      <c r="G11" s="42" t="str">
        <f>IF(Table9[[#This Row],[Result]]="pC","n","")</f>
        <v/>
      </c>
      <c r="H11" s="90" t="str">
        <f>IF(Table9[[#This Row],[Result]]="C","n","")</f>
        <v/>
      </c>
      <c r="I11" s="86"/>
    </row>
    <row r="12" spans="1:9" ht="30" customHeight="1" x14ac:dyDescent="0.25">
      <c r="A12" s="209" t="s">
        <v>19</v>
      </c>
      <c r="C12" s="33" t="s">
        <v>488</v>
      </c>
      <c r="D12" s="7" t="s">
        <v>8</v>
      </c>
      <c r="E12" s="84" t="s">
        <v>7</v>
      </c>
      <c r="F12" s="89" t="str">
        <f>IF(Table9[[#This Row],[Result]]="NC","n","")</f>
        <v/>
      </c>
      <c r="G12" s="42" t="str">
        <f>IF(Table9[[#This Row],[Result]]="pC","n","")</f>
        <v/>
      </c>
      <c r="H12" s="90" t="str">
        <f>IF(Table9[[#This Row],[Result]]="C","n","")</f>
        <v>n</v>
      </c>
      <c r="I12" s="86"/>
    </row>
    <row r="13" spans="1:9" ht="30" customHeight="1" x14ac:dyDescent="0.25">
      <c r="A13" s="210"/>
      <c r="C13" s="33" t="s">
        <v>489</v>
      </c>
      <c r="D13" s="7" t="s">
        <v>233</v>
      </c>
      <c r="E13" s="84" t="s">
        <v>5</v>
      </c>
      <c r="F13" s="89" t="str">
        <f>IF(Table9[[#This Row],[Result]]="NC","n","")</f>
        <v>n</v>
      </c>
      <c r="G13" s="42" t="str">
        <f>IF(Table9[[#This Row],[Result]]="pC","n","")</f>
        <v/>
      </c>
      <c r="H13" s="90" t="str">
        <f>IF(Table9[[#This Row],[Result]]="C","n","")</f>
        <v/>
      </c>
      <c r="I13" s="86"/>
    </row>
    <row r="14" spans="1:9" ht="30" customHeight="1" x14ac:dyDescent="0.25">
      <c r="A14" s="210"/>
      <c r="C14" s="33" t="s">
        <v>490</v>
      </c>
      <c r="D14" s="7" t="s">
        <v>9</v>
      </c>
      <c r="E14" s="84" t="s">
        <v>7</v>
      </c>
      <c r="F14" s="89" t="str">
        <f>IF(Table9[[#This Row],[Result]]="NC","n","")</f>
        <v/>
      </c>
      <c r="G14" s="42" t="str">
        <f>IF(Table9[[#This Row],[Result]]="pC","n","")</f>
        <v/>
      </c>
      <c r="H14" s="90" t="str">
        <f>IF(Table9[[#This Row],[Result]]="C","n","")</f>
        <v>n</v>
      </c>
      <c r="I14" s="86"/>
    </row>
    <row r="15" spans="1:9" ht="30" customHeight="1" x14ac:dyDescent="0.25">
      <c r="A15" s="210"/>
      <c r="C15" s="33" t="s">
        <v>491</v>
      </c>
      <c r="D15" s="7" t="s">
        <v>133</v>
      </c>
      <c r="E15" s="84" t="s">
        <v>6</v>
      </c>
      <c r="F15" s="89" t="str">
        <f>IF(Table9[[#This Row],[Result]]="NC","n","")</f>
        <v/>
      </c>
      <c r="G15" s="42" t="str">
        <f>IF(Table9[[#This Row],[Result]]="pC","n","")</f>
        <v>n</v>
      </c>
      <c r="H15" s="90" t="str">
        <f>IF(Table9[[#This Row],[Result]]="C","n","")</f>
        <v/>
      </c>
      <c r="I15" s="86"/>
    </row>
    <row r="16" spans="1:9" ht="30" customHeight="1" x14ac:dyDescent="0.25">
      <c r="A16" s="211"/>
      <c r="C16" s="37" t="s">
        <v>492</v>
      </c>
      <c r="D16" s="7" t="s">
        <v>232</v>
      </c>
      <c r="E16" s="67" t="s">
        <v>6</v>
      </c>
      <c r="F16" s="76" t="str">
        <f>IF(Table9[[#This Row],[Result]]="NC","n","")</f>
        <v/>
      </c>
      <c r="G16" s="41" t="str">
        <f>IF(Table9[[#This Row],[Result]]="pC","n","")</f>
        <v>n</v>
      </c>
      <c r="H16" s="77" t="str">
        <f>IF(Table9[[#This Row],[Result]]="C","n","")</f>
        <v/>
      </c>
      <c r="I16" s="162"/>
    </row>
    <row r="17" spans="1:9" ht="30" customHeight="1" x14ac:dyDescent="0.25">
      <c r="A17" s="215" t="s">
        <v>21</v>
      </c>
      <c r="C17" s="33" t="s">
        <v>493</v>
      </c>
      <c r="D17" s="7" t="s">
        <v>230</v>
      </c>
      <c r="E17" s="84" t="s">
        <v>5</v>
      </c>
      <c r="F17" s="89" t="str">
        <f>IF(Table9[[#This Row],[Result]]="NC","n","")</f>
        <v>n</v>
      </c>
      <c r="G17" s="42" t="str">
        <f>IF(Table9[[#This Row],[Result]]="pC","n","")</f>
        <v/>
      </c>
      <c r="H17" s="90" t="str">
        <f>IF(Table9[[#This Row],[Result]]="C","n","")</f>
        <v/>
      </c>
      <c r="I17" s="86"/>
    </row>
    <row r="18" spans="1:9" ht="30" customHeight="1" x14ac:dyDescent="0.25">
      <c r="A18" s="215"/>
      <c r="C18" s="33" t="s">
        <v>494</v>
      </c>
      <c r="D18" s="7" t="s">
        <v>11</v>
      </c>
      <c r="E18" s="84" t="s">
        <v>5</v>
      </c>
      <c r="F18" s="89" t="str">
        <f>IF(Table9[[#This Row],[Result]]="NC","n","")</f>
        <v>n</v>
      </c>
      <c r="G18" s="42" t="str">
        <f>IF(Table9[[#This Row],[Result]]="pC","n","")</f>
        <v/>
      </c>
      <c r="H18" s="90" t="str">
        <f>IF(Table9[[#This Row],[Result]]="C","n","")</f>
        <v/>
      </c>
      <c r="I18" s="86"/>
    </row>
    <row r="19" spans="1:9" ht="30" customHeight="1" x14ac:dyDescent="0.25">
      <c r="A19" s="215"/>
      <c r="C19" s="33" t="s">
        <v>495</v>
      </c>
      <c r="D19" s="7" t="s">
        <v>231</v>
      </c>
      <c r="E19" s="84" t="s">
        <v>6</v>
      </c>
      <c r="F19" s="89" t="str">
        <f>IF(Table9[[#This Row],[Result]]="NC","n","")</f>
        <v/>
      </c>
      <c r="G19" s="42" t="str">
        <f>IF(Table9[[#This Row],[Result]]="pC","n","")</f>
        <v>n</v>
      </c>
      <c r="H19" s="90" t="str">
        <f>IF(Table9[[#This Row],[Result]]="C","n","")</f>
        <v/>
      </c>
      <c r="I19" s="86"/>
    </row>
    <row r="20" spans="1:9" ht="30" customHeight="1" x14ac:dyDescent="0.25">
      <c r="A20" s="215"/>
      <c r="C20" s="33" t="s">
        <v>496</v>
      </c>
      <c r="D20" s="7" t="s">
        <v>12</v>
      </c>
      <c r="E20" s="84" t="s">
        <v>7</v>
      </c>
      <c r="F20" s="89" t="str">
        <f>IF(Table9[[#This Row],[Result]]="NC","n","")</f>
        <v/>
      </c>
      <c r="G20" s="42" t="str">
        <f>IF(Table9[[#This Row],[Result]]="pC","n","")</f>
        <v/>
      </c>
      <c r="H20" s="90" t="str">
        <f>IF(Table9[[#This Row],[Result]]="C","n","")</f>
        <v>n</v>
      </c>
      <c r="I20" s="86"/>
    </row>
    <row r="21" spans="1:9" ht="30" customHeight="1" x14ac:dyDescent="0.25">
      <c r="A21" s="215"/>
      <c r="C21" s="34" t="s">
        <v>497</v>
      </c>
      <c r="D21" s="17" t="s">
        <v>159</v>
      </c>
      <c r="E21" s="143" t="s">
        <v>7</v>
      </c>
      <c r="F21" s="163" t="str">
        <f>IF(Table9[[#This Row],[Result]]="NC","n","")</f>
        <v/>
      </c>
      <c r="G21" s="43" t="str">
        <f>IF(Table9[[#This Row],[Result]]="pC","n","")</f>
        <v/>
      </c>
      <c r="H21" s="164" t="str">
        <f>IF(Table9[[#This Row],[Result]]="C","n","")</f>
        <v>n</v>
      </c>
      <c r="I21" s="31"/>
    </row>
    <row r="22" spans="1:9" ht="15.75" thickBot="1" x14ac:dyDescent="0.3">
      <c r="D22" s="218" t="s">
        <v>257</v>
      </c>
      <c r="E22" s="218"/>
      <c r="F22" s="102">
        <f>COUNTIF(Table9[NC],"n")</f>
        <v>4</v>
      </c>
      <c r="G22" s="103">
        <f>COUNTIF(Table9[PC],"n")</f>
        <v>5</v>
      </c>
      <c r="H22" s="104">
        <f>COUNTIF(Table9[C],"n")</f>
        <v>7</v>
      </c>
    </row>
    <row r="23" spans="1:9" ht="16.5" thickTop="1" thickBot="1" x14ac:dyDescent="0.3">
      <c r="D23" s="218" t="s">
        <v>258</v>
      </c>
      <c r="E23" s="218"/>
      <c r="F23" s="105">
        <f>F22*0</f>
        <v>0</v>
      </c>
      <c r="G23" s="106">
        <f>G22*1</f>
        <v>5</v>
      </c>
      <c r="H23" s="107">
        <f>H22*3</f>
        <v>21</v>
      </c>
    </row>
    <row r="24" spans="1:9" x14ac:dyDescent="0.25">
      <c r="D24" s="218" t="s">
        <v>1</v>
      </c>
      <c r="E24" s="218"/>
      <c r="F24" s="101">
        <f>SUM(F23:H23)</f>
        <v>26</v>
      </c>
      <c r="G24" s="108" t="s">
        <v>498</v>
      </c>
      <c r="H24" s="101"/>
    </row>
  </sheetData>
  <sheetProtection algorithmName="SHA-512" hashValue="y2OzwJee8nAjH3kU99vPRmDQpdGLlddy1ssOt66i2YPk+vypPOxquk3pHHSCyTSPaX2HUqWddSQajGhvvtAh4w==" saltValue="DXeU3oTTUuhCFjNNeqJX+w==" spinCount="100000" sheet="1" objects="1" scenarios="1" selectLockedCells="1"/>
  <mergeCells count="7">
    <mergeCell ref="D2:H3"/>
    <mergeCell ref="D22:E22"/>
    <mergeCell ref="D23:E23"/>
    <mergeCell ref="D24:E24"/>
    <mergeCell ref="A12:A16"/>
    <mergeCell ref="A6:A11"/>
    <mergeCell ref="A17:A21"/>
  </mergeCells>
  <dataValidations count="1">
    <dataValidation type="list" allowBlank="1" showInputMessage="1" showErrorMessage="1" prompt="Please enter either NC for a Non Conformance, PC for a Partial Conformance or C for a Conformance" sqref="E6:E21">
      <formula1>Result</formula1>
    </dataValidation>
  </dataValidations>
  <pageMargins left="0.7" right="0.7" top="0.75" bottom="0.75" header="0.3" footer="0.3"/>
  <drawing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10"/>
  <sheetViews>
    <sheetView showGridLines="0" zoomScaleNormal="100" workbookViewId="0">
      <selection activeCell="E15" sqref="E15"/>
    </sheetView>
  </sheetViews>
  <sheetFormatPr defaultRowHeight="15" x14ac:dyDescent="0.25"/>
  <cols>
    <col min="1" max="1" width="7.7109375" style="13" customWidth="1"/>
    <col min="2" max="2" width="1.7109375" customWidth="1"/>
    <col min="3" max="3" width="6.7109375" customWidth="1"/>
    <col min="4" max="4" width="100.7109375" style="1" customWidth="1"/>
    <col min="5" max="8" width="7.7109375" customWidth="1"/>
    <col min="9" max="9" width="100.7109375" customWidth="1"/>
  </cols>
  <sheetData>
    <row r="2" spans="1:9" x14ac:dyDescent="0.25">
      <c r="D2" s="206" t="s">
        <v>516</v>
      </c>
      <c r="E2" s="206"/>
      <c r="F2" s="206"/>
      <c r="G2" s="206"/>
      <c r="H2" s="206"/>
    </row>
    <row r="3" spans="1:9" x14ac:dyDescent="0.25">
      <c r="D3" s="206"/>
      <c r="E3" s="206"/>
      <c r="F3" s="206"/>
      <c r="G3" s="206"/>
      <c r="H3" s="206"/>
    </row>
    <row r="5" spans="1:9" ht="30" customHeight="1" x14ac:dyDescent="0.25">
      <c r="C5" s="15" t="s">
        <v>0</v>
      </c>
      <c r="D5" s="134" t="s">
        <v>4</v>
      </c>
      <c r="E5" s="16" t="s">
        <v>332</v>
      </c>
      <c r="F5" s="87" t="s">
        <v>5</v>
      </c>
      <c r="G5" s="9" t="s">
        <v>6</v>
      </c>
      <c r="H5" s="88" t="s">
        <v>7</v>
      </c>
      <c r="I5" s="95" t="s">
        <v>56</v>
      </c>
    </row>
    <row r="6" spans="1:9" ht="15" customHeight="1" x14ac:dyDescent="0.25">
      <c r="A6" s="215" t="s">
        <v>618</v>
      </c>
      <c r="C6" s="33" t="s">
        <v>632</v>
      </c>
      <c r="D6" s="7" t="s">
        <v>518</v>
      </c>
      <c r="E6" s="84" t="s">
        <v>5</v>
      </c>
      <c r="F6" s="183" t="str">
        <f>IF(Table97[[#This Row],[Result]]="NC","n","")</f>
        <v>n</v>
      </c>
      <c r="G6" s="184" t="str">
        <f>IF(Table97[[#This Row],[Result]]="pC","n","")</f>
        <v/>
      </c>
      <c r="H6" s="185" t="str">
        <f>IF(Table97[[#This Row],[Result]]="C","n","")</f>
        <v/>
      </c>
      <c r="I6" s="186"/>
    </row>
    <row r="7" spans="1:9" ht="15" customHeight="1" x14ac:dyDescent="0.25">
      <c r="A7" s="215"/>
      <c r="C7" s="33" t="s">
        <v>633</v>
      </c>
      <c r="D7" s="7" t="s">
        <v>519</v>
      </c>
      <c r="E7" s="84" t="s">
        <v>7</v>
      </c>
      <c r="F7" s="183" t="str">
        <f>IF(Table97[[#This Row],[Result]]="NC","n","")</f>
        <v/>
      </c>
      <c r="G7" s="184" t="str">
        <f>IF(Table97[[#This Row],[Result]]="pC","n","")</f>
        <v/>
      </c>
      <c r="H7" s="185" t="str">
        <f>IF(Table97[[#This Row],[Result]]="C","n","")</f>
        <v>n</v>
      </c>
      <c r="I7" s="186"/>
    </row>
    <row r="8" spans="1:9" ht="15" customHeight="1" x14ac:dyDescent="0.25">
      <c r="A8" s="215"/>
      <c r="C8" s="33" t="s">
        <v>634</v>
      </c>
      <c r="D8" s="7" t="s">
        <v>520</v>
      </c>
      <c r="E8" s="84" t="s">
        <v>7</v>
      </c>
      <c r="F8" s="183" t="str">
        <f>IF(Table97[[#This Row],[Result]]="NC","n","")</f>
        <v/>
      </c>
      <c r="G8" s="184" t="str">
        <f>IF(Table97[[#This Row],[Result]]="pC","n","")</f>
        <v/>
      </c>
      <c r="H8" s="185" t="str">
        <f>IF(Table97[[#This Row],[Result]]="C","n","")</f>
        <v>n</v>
      </c>
      <c r="I8" s="186"/>
    </row>
    <row r="9" spans="1:9" ht="15" customHeight="1" x14ac:dyDescent="0.25">
      <c r="A9" s="215"/>
      <c r="C9" s="33" t="s">
        <v>635</v>
      </c>
      <c r="D9" s="7" t="s">
        <v>521</v>
      </c>
      <c r="E9" s="84" t="s">
        <v>7</v>
      </c>
      <c r="F9" s="183" t="str">
        <f>IF(Table97[[#This Row],[Result]]="NC","n","")</f>
        <v/>
      </c>
      <c r="G9" s="184" t="str">
        <f>IF(Table97[[#This Row],[Result]]="pC","n","")</f>
        <v/>
      </c>
      <c r="H9" s="185" t="str">
        <f>IF(Table97[[#This Row],[Result]]="C","n","")</f>
        <v>n</v>
      </c>
      <c r="I9" s="186"/>
    </row>
    <row r="10" spans="1:9" ht="15" customHeight="1" x14ac:dyDescent="0.25">
      <c r="A10" s="215"/>
      <c r="C10" s="33" t="s">
        <v>636</v>
      </c>
      <c r="D10" s="7" t="s">
        <v>522</v>
      </c>
      <c r="E10" s="84" t="s">
        <v>6</v>
      </c>
      <c r="F10" s="183" t="str">
        <f>IF(Table97[[#This Row],[Result]]="NC","n","")</f>
        <v/>
      </c>
      <c r="G10" s="184" t="str">
        <f>IF(Table97[[#This Row],[Result]]="pC","n","")</f>
        <v>n</v>
      </c>
      <c r="H10" s="185" t="str">
        <f>IF(Table97[[#This Row],[Result]]="C","n","")</f>
        <v/>
      </c>
      <c r="I10" s="186"/>
    </row>
    <row r="11" spans="1:9" ht="15" customHeight="1" x14ac:dyDescent="0.25">
      <c r="A11" s="215"/>
      <c r="C11" s="33" t="s">
        <v>637</v>
      </c>
      <c r="D11" s="7" t="s">
        <v>523</v>
      </c>
      <c r="E11" s="84" t="s">
        <v>5</v>
      </c>
      <c r="F11" s="183" t="str">
        <f>IF(Table97[[#This Row],[Result]]="NC","n","")</f>
        <v>n</v>
      </c>
      <c r="G11" s="184" t="str">
        <f>IF(Table97[[#This Row],[Result]]="pC","n","")</f>
        <v/>
      </c>
      <c r="H11" s="185" t="str">
        <f>IF(Table97[[#This Row],[Result]]="C","n","")</f>
        <v/>
      </c>
      <c r="I11" s="186"/>
    </row>
    <row r="12" spans="1:9" ht="15" customHeight="1" x14ac:dyDescent="0.25">
      <c r="A12" s="215"/>
      <c r="C12" s="33" t="s">
        <v>638</v>
      </c>
      <c r="D12" s="7" t="s">
        <v>524</v>
      </c>
      <c r="E12" s="84" t="s">
        <v>7</v>
      </c>
      <c r="F12" s="183" t="str">
        <f>IF(Table97[[#This Row],[Result]]="NC","n","")</f>
        <v/>
      </c>
      <c r="G12" s="184" t="str">
        <f>IF(Table97[[#This Row],[Result]]="pC","n","")</f>
        <v/>
      </c>
      <c r="H12" s="185" t="str">
        <f>IF(Table97[[#This Row],[Result]]="C","n","")</f>
        <v>n</v>
      </c>
      <c r="I12" s="186"/>
    </row>
    <row r="13" spans="1:9" ht="15" customHeight="1" x14ac:dyDescent="0.25">
      <c r="A13" s="215"/>
      <c r="C13" s="33" t="s">
        <v>639</v>
      </c>
      <c r="D13" s="7" t="s">
        <v>525</v>
      </c>
      <c r="E13" s="84" t="s">
        <v>5</v>
      </c>
      <c r="F13" s="183" t="str">
        <f>IF(Table97[[#This Row],[Result]]="NC","n","")</f>
        <v>n</v>
      </c>
      <c r="G13" s="184" t="str">
        <f>IF(Table97[[#This Row],[Result]]="pC","n","")</f>
        <v/>
      </c>
      <c r="H13" s="185" t="str">
        <f>IF(Table97[[#This Row],[Result]]="C","n","")</f>
        <v/>
      </c>
      <c r="I13" s="186"/>
    </row>
    <row r="14" spans="1:9" ht="15" customHeight="1" x14ac:dyDescent="0.25">
      <c r="A14" s="215"/>
      <c r="C14" s="33" t="s">
        <v>640</v>
      </c>
      <c r="D14" s="7" t="s">
        <v>526</v>
      </c>
      <c r="E14" s="84" t="s">
        <v>7</v>
      </c>
      <c r="F14" s="183" t="str">
        <f>IF(Table97[[#This Row],[Result]]="NC","n","")</f>
        <v/>
      </c>
      <c r="G14" s="184" t="str">
        <f>IF(Table97[[#This Row],[Result]]="pC","n","")</f>
        <v/>
      </c>
      <c r="H14" s="185" t="str">
        <f>IF(Table97[[#This Row],[Result]]="C","n","")</f>
        <v>n</v>
      </c>
      <c r="I14" s="186"/>
    </row>
    <row r="15" spans="1:9" ht="15" customHeight="1" x14ac:dyDescent="0.25">
      <c r="A15" s="215"/>
      <c r="C15" s="33" t="s">
        <v>641</v>
      </c>
      <c r="D15" s="7" t="s">
        <v>527</v>
      </c>
      <c r="E15" s="84" t="s">
        <v>6</v>
      </c>
      <c r="F15" s="183" t="str">
        <f>IF(Table97[[#This Row],[Result]]="NC","n","")</f>
        <v/>
      </c>
      <c r="G15" s="184" t="str">
        <f>IF(Table97[[#This Row],[Result]]="pC","n","")</f>
        <v>n</v>
      </c>
      <c r="H15" s="185" t="str">
        <f>IF(Table97[[#This Row],[Result]]="C","n","")</f>
        <v/>
      </c>
      <c r="I15" s="186"/>
    </row>
    <row r="16" spans="1:9" ht="15" customHeight="1" x14ac:dyDescent="0.25">
      <c r="A16" s="215"/>
      <c r="C16" s="33" t="s">
        <v>642</v>
      </c>
      <c r="D16" s="7" t="s">
        <v>528</v>
      </c>
      <c r="E16" s="67" t="s">
        <v>6</v>
      </c>
      <c r="F16" s="183" t="str">
        <f>IF(Table97[[#This Row],[Result]]="NC","n","")</f>
        <v/>
      </c>
      <c r="G16" s="184" t="str">
        <f>IF(Table97[[#This Row],[Result]]="pC","n","")</f>
        <v>n</v>
      </c>
      <c r="H16" s="185" t="str">
        <f>IF(Table97[[#This Row],[Result]]="C","n","")</f>
        <v/>
      </c>
      <c r="I16" s="186"/>
    </row>
    <row r="17" spans="1:9" ht="15" customHeight="1" x14ac:dyDescent="0.25">
      <c r="A17" s="215" t="s">
        <v>619</v>
      </c>
      <c r="C17" s="33" t="s">
        <v>643</v>
      </c>
      <c r="D17" s="7" t="s">
        <v>529</v>
      </c>
      <c r="E17" s="84" t="s">
        <v>5</v>
      </c>
      <c r="F17" s="183" t="str">
        <f>IF(Table97[[#This Row],[Result]]="NC","n","")</f>
        <v>n</v>
      </c>
      <c r="G17" s="184" t="str">
        <f>IF(Table97[[#This Row],[Result]]="pC","n","")</f>
        <v/>
      </c>
      <c r="H17" s="185" t="str">
        <f>IF(Table97[[#This Row],[Result]]="C","n","")</f>
        <v/>
      </c>
      <c r="I17" s="186"/>
    </row>
    <row r="18" spans="1:9" ht="15" customHeight="1" x14ac:dyDescent="0.25">
      <c r="A18" s="215"/>
      <c r="C18" s="33" t="s">
        <v>644</v>
      </c>
      <c r="D18" s="7" t="s">
        <v>530</v>
      </c>
      <c r="E18" s="84" t="s">
        <v>5</v>
      </c>
      <c r="F18" s="183" t="str">
        <f>IF(Table97[[#This Row],[Result]]="NC","n","")</f>
        <v>n</v>
      </c>
      <c r="G18" s="184" t="str">
        <f>IF(Table97[[#This Row],[Result]]="pC","n","")</f>
        <v/>
      </c>
      <c r="H18" s="185" t="str">
        <f>IF(Table97[[#This Row],[Result]]="C","n","")</f>
        <v/>
      </c>
      <c r="I18" s="186"/>
    </row>
    <row r="19" spans="1:9" ht="15" customHeight="1" x14ac:dyDescent="0.25">
      <c r="A19" s="215"/>
      <c r="C19" s="33" t="s">
        <v>645</v>
      </c>
      <c r="D19" s="7" t="s">
        <v>531</v>
      </c>
      <c r="E19" s="84" t="s">
        <v>6</v>
      </c>
      <c r="F19" s="183" t="str">
        <f>IF(Table97[[#This Row],[Result]]="NC","n","")</f>
        <v/>
      </c>
      <c r="G19" s="184" t="str">
        <f>IF(Table97[[#This Row],[Result]]="pC","n","")</f>
        <v>n</v>
      </c>
      <c r="H19" s="185" t="str">
        <f>IF(Table97[[#This Row],[Result]]="C","n","")</f>
        <v/>
      </c>
      <c r="I19" s="186"/>
    </row>
    <row r="20" spans="1:9" ht="15" customHeight="1" x14ac:dyDescent="0.25">
      <c r="A20" s="215"/>
      <c r="C20" s="33" t="s">
        <v>646</v>
      </c>
      <c r="D20" s="7" t="s">
        <v>532</v>
      </c>
      <c r="E20" s="84" t="s">
        <v>7</v>
      </c>
      <c r="F20" s="183" t="str">
        <f>IF(Table97[[#This Row],[Result]]="NC","n","")</f>
        <v/>
      </c>
      <c r="G20" s="184" t="str">
        <f>IF(Table97[[#This Row],[Result]]="pC","n","")</f>
        <v/>
      </c>
      <c r="H20" s="185" t="str">
        <f>IF(Table97[[#This Row],[Result]]="C","n","")</f>
        <v>n</v>
      </c>
      <c r="I20" s="186"/>
    </row>
    <row r="21" spans="1:9" ht="15" customHeight="1" x14ac:dyDescent="0.25">
      <c r="A21" s="215"/>
      <c r="C21" s="33" t="s">
        <v>647</v>
      </c>
      <c r="D21" s="7" t="s">
        <v>533</v>
      </c>
      <c r="E21" s="84" t="s">
        <v>6</v>
      </c>
      <c r="F21" s="183" t="str">
        <f>IF(Table97[[#This Row],[Result]]="NC","n","")</f>
        <v/>
      </c>
      <c r="G21" s="184" t="str">
        <f>IF(Table97[[#This Row],[Result]]="pC","n","")</f>
        <v>n</v>
      </c>
      <c r="H21" s="185" t="str">
        <f>IF(Table97[[#This Row],[Result]]="C","n","")</f>
        <v/>
      </c>
      <c r="I21" s="186"/>
    </row>
    <row r="22" spans="1:9" ht="15" customHeight="1" x14ac:dyDescent="0.25">
      <c r="A22" s="215"/>
      <c r="C22" s="33" t="s">
        <v>648</v>
      </c>
      <c r="D22" s="7" t="s">
        <v>534</v>
      </c>
      <c r="E22" s="84" t="s">
        <v>7</v>
      </c>
      <c r="F22" s="183" t="str">
        <f>IF(Table97[[#This Row],[Result]]="NC","n","")</f>
        <v/>
      </c>
      <c r="G22" s="184" t="str">
        <f>IF(Table97[[#This Row],[Result]]="pC","n","")</f>
        <v/>
      </c>
      <c r="H22" s="185" t="str">
        <f>IF(Table97[[#This Row],[Result]]="C","n","")</f>
        <v>n</v>
      </c>
      <c r="I22" s="186"/>
    </row>
    <row r="23" spans="1:9" ht="15" customHeight="1" x14ac:dyDescent="0.25">
      <c r="A23" s="215"/>
      <c r="C23" s="33" t="s">
        <v>649</v>
      </c>
      <c r="D23" s="7" t="s">
        <v>535</v>
      </c>
      <c r="E23" s="84" t="s">
        <v>7</v>
      </c>
      <c r="F23" s="183" t="str">
        <f>IF(Table97[[#This Row],[Result]]="NC","n","")</f>
        <v/>
      </c>
      <c r="G23" s="184" t="str">
        <f>IF(Table97[[#This Row],[Result]]="pC","n","")</f>
        <v/>
      </c>
      <c r="H23" s="185" t="str">
        <f>IF(Table97[[#This Row],[Result]]="C","n","")</f>
        <v>n</v>
      </c>
      <c r="I23" s="186"/>
    </row>
    <row r="24" spans="1:9" ht="15" customHeight="1" x14ac:dyDescent="0.25">
      <c r="A24" s="215"/>
      <c r="C24" s="33" t="s">
        <v>650</v>
      </c>
      <c r="D24" s="7" t="s">
        <v>536</v>
      </c>
      <c r="E24" s="84" t="s">
        <v>7</v>
      </c>
      <c r="F24" s="183" t="str">
        <f>IF(Table97[[#This Row],[Result]]="NC","n","")</f>
        <v/>
      </c>
      <c r="G24" s="184" t="str">
        <f>IF(Table97[[#This Row],[Result]]="pC","n","")</f>
        <v/>
      </c>
      <c r="H24" s="185" t="str">
        <f>IF(Table97[[#This Row],[Result]]="C","n","")</f>
        <v>n</v>
      </c>
      <c r="I24" s="186"/>
    </row>
    <row r="25" spans="1:9" ht="15" customHeight="1" x14ac:dyDescent="0.25">
      <c r="A25" s="215"/>
      <c r="C25" s="33" t="s">
        <v>651</v>
      </c>
      <c r="D25" s="7" t="s">
        <v>537</v>
      </c>
      <c r="E25" s="84" t="s">
        <v>6</v>
      </c>
      <c r="F25" s="183" t="str">
        <f>IF(Table97[[#This Row],[Result]]="NC","n","")</f>
        <v/>
      </c>
      <c r="G25" s="184" t="str">
        <f>IF(Table97[[#This Row],[Result]]="pC","n","")</f>
        <v>n</v>
      </c>
      <c r="H25" s="185" t="str">
        <f>IF(Table97[[#This Row],[Result]]="C","n","")</f>
        <v/>
      </c>
      <c r="I25" s="186"/>
    </row>
    <row r="26" spans="1:9" ht="15" customHeight="1" x14ac:dyDescent="0.25">
      <c r="A26" s="215"/>
      <c r="C26" s="33" t="s">
        <v>652</v>
      </c>
      <c r="D26" s="17" t="s">
        <v>538</v>
      </c>
      <c r="E26" s="84" t="s">
        <v>6</v>
      </c>
      <c r="F26" s="183" t="str">
        <f>IF(Table97[[#This Row],[Result]]="NC","n","")</f>
        <v/>
      </c>
      <c r="G26" s="184" t="str">
        <f>IF(Table97[[#This Row],[Result]]="pC","n","")</f>
        <v>n</v>
      </c>
      <c r="H26" s="185" t="str">
        <f>IF(Table97[[#This Row],[Result]]="C","n","")</f>
        <v/>
      </c>
      <c r="I26" s="186"/>
    </row>
    <row r="27" spans="1:9" ht="15" customHeight="1" x14ac:dyDescent="0.25">
      <c r="A27" s="215"/>
      <c r="C27" s="33" t="s">
        <v>653</v>
      </c>
      <c r="D27" s="7" t="s">
        <v>539</v>
      </c>
      <c r="E27" s="84" t="s">
        <v>7</v>
      </c>
      <c r="F27" s="183" t="str">
        <f>IF(Table97[[#This Row],[Result]]="NC","n","")</f>
        <v/>
      </c>
      <c r="G27" s="184" t="str">
        <f>IF(Table97[[#This Row],[Result]]="pC","n","")</f>
        <v/>
      </c>
      <c r="H27" s="185" t="str">
        <f>IF(Table97[[#This Row],[Result]]="C","n","")</f>
        <v>n</v>
      </c>
      <c r="I27" s="186"/>
    </row>
    <row r="28" spans="1:9" ht="15" customHeight="1" x14ac:dyDescent="0.25">
      <c r="A28" s="215"/>
      <c r="C28" s="33" t="s">
        <v>654</v>
      </c>
      <c r="D28" s="7" t="s">
        <v>540</v>
      </c>
      <c r="E28" s="84" t="s">
        <v>7</v>
      </c>
      <c r="F28" s="183" t="str">
        <f>IF(Table97[[#This Row],[Result]]="NC","n","")</f>
        <v/>
      </c>
      <c r="G28" s="184" t="str">
        <f>IF(Table97[[#This Row],[Result]]="pC","n","")</f>
        <v/>
      </c>
      <c r="H28" s="185" t="str">
        <f>IF(Table97[[#This Row],[Result]]="C","n","")</f>
        <v>n</v>
      </c>
      <c r="I28" s="186"/>
    </row>
    <row r="29" spans="1:9" ht="15" customHeight="1" x14ac:dyDescent="0.25">
      <c r="A29" s="215"/>
      <c r="C29" s="33" t="s">
        <v>655</v>
      </c>
      <c r="D29" s="7" t="s">
        <v>541</v>
      </c>
      <c r="E29" s="84" t="s">
        <v>7</v>
      </c>
      <c r="F29" s="183" t="str">
        <f>IF(Table97[[#This Row],[Result]]="NC","n","")</f>
        <v/>
      </c>
      <c r="G29" s="184" t="str">
        <f>IF(Table97[[#This Row],[Result]]="pC","n","")</f>
        <v/>
      </c>
      <c r="H29" s="185" t="str">
        <f>IF(Table97[[#This Row],[Result]]="C","n","")</f>
        <v>n</v>
      </c>
      <c r="I29" s="186"/>
    </row>
    <row r="30" spans="1:9" ht="15" customHeight="1" x14ac:dyDescent="0.25">
      <c r="A30" s="215"/>
      <c r="C30" s="33" t="s">
        <v>656</v>
      </c>
      <c r="D30" s="7" t="s">
        <v>542</v>
      </c>
      <c r="E30" s="84" t="s">
        <v>6</v>
      </c>
      <c r="F30" s="183" t="str">
        <f>IF(Table97[[#This Row],[Result]]="NC","n","")</f>
        <v/>
      </c>
      <c r="G30" s="184" t="str">
        <f>IF(Table97[[#This Row],[Result]]="pC","n","")</f>
        <v>n</v>
      </c>
      <c r="H30" s="185" t="str">
        <f>IF(Table97[[#This Row],[Result]]="C","n","")</f>
        <v/>
      </c>
      <c r="I30" s="186"/>
    </row>
    <row r="31" spans="1:9" ht="15" customHeight="1" x14ac:dyDescent="0.25">
      <c r="A31" s="215"/>
      <c r="C31" s="33" t="s">
        <v>657</v>
      </c>
      <c r="D31" s="7" t="s">
        <v>543</v>
      </c>
      <c r="E31" s="84" t="s">
        <v>5</v>
      </c>
      <c r="F31" s="183" t="str">
        <f>IF(Table97[[#This Row],[Result]]="NC","n","")</f>
        <v>n</v>
      </c>
      <c r="G31" s="184" t="str">
        <f>IF(Table97[[#This Row],[Result]]="pC","n","")</f>
        <v/>
      </c>
      <c r="H31" s="185" t="str">
        <f>IF(Table97[[#This Row],[Result]]="C","n","")</f>
        <v/>
      </c>
      <c r="I31" s="186"/>
    </row>
    <row r="32" spans="1:9" ht="15" customHeight="1" x14ac:dyDescent="0.25">
      <c r="A32" s="215"/>
      <c r="C32" s="33" t="s">
        <v>658</v>
      </c>
      <c r="D32" s="7" t="s">
        <v>544</v>
      </c>
      <c r="E32" s="84" t="s">
        <v>7</v>
      </c>
      <c r="F32" s="183" t="str">
        <f>IF(Table97[[#This Row],[Result]]="NC","n","")</f>
        <v/>
      </c>
      <c r="G32" s="184" t="str">
        <f>IF(Table97[[#This Row],[Result]]="pC","n","")</f>
        <v/>
      </c>
      <c r="H32" s="185" t="str">
        <f>IF(Table97[[#This Row],[Result]]="C","n","")</f>
        <v>n</v>
      </c>
      <c r="I32" s="186"/>
    </row>
    <row r="33" spans="1:9" ht="15" customHeight="1" x14ac:dyDescent="0.25">
      <c r="A33" s="215"/>
      <c r="C33" s="33" t="s">
        <v>659</v>
      </c>
      <c r="D33" s="7" t="s">
        <v>545</v>
      </c>
      <c r="E33" s="84" t="s">
        <v>5</v>
      </c>
      <c r="F33" s="183" t="str">
        <f>IF(Table97[[#This Row],[Result]]="NC","n","")</f>
        <v>n</v>
      </c>
      <c r="G33" s="184" t="str">
        <f>IF(Table97[[#This Row],[Result]]="pC","n","")</f>
        <v/>
      </c>
      <c r="H33" s="185" t="str">
        <f>IF(Table97[[#This Row],[Result]]="C","n","")</f>
        <v/>
      </c>
      <c r="I33" s="186"/>
    </row>
    <row r="34" spans="1:9" ht="15" customHeight="1" x14ac:dyDescent="0.25">
      <c r="A34" s="215" t="s">
        <v>620</v>
      </c>
      <c r="C34" s="33" t="s">
        <v>660</v>
      </c>
      <c r="D34" s="7" t="s">
        <v>546</v>
      </c>
      <c r="E34" s="84" t="s">
        <v>7</v>
      </c>
      <c r="F34" s="183" t="str">
        <f>IF(Table97[[#This Row],[Result]]="NC","n","")</f>
        <v/>
      </c>
      <c r="G34" s="184" t="str">
        <f>IF(Table97[[#This Row],[Result]]="pC","n","")</f>
        <v/>
      </c>
      <c r="H34" s="185" t="str">
        <f>IF(Table97[[#This Row],[Result]]="C","n","")</f>
        <v>n</v>
      </c>
      <c r="I34" s="186"/>
    </row>
    <row r="35" spans="1:9" ht="15" customHeight="1" x14ac:dyDescent="0.25">
      <c r="A35" s="215"/>
      <c r="C35" s="33" t="s">
        <v>661</v>
      </c>
      <c r="D35" s="7" t="s">
        <v>547</v>
      </c>
      <c r="E35" s="84" t="s">
        <v>6</v>
      </c>
      <c r="F35" s="183" t="str">
        <f>IF(Table97[[#This Row],[Result]]="NC","n","")</f>
        <v/>
      </c>
      <c r="G35" s="184" t="str">
        <f>IF(Table97[[#This Row],[Result]]="pC","n","")</f>
        <v>n</v>
      </c>
      <c r="H35" s="185" t="str">
        <f>IF(Table97[[#This Row],[Result]]="C","n","")</f>
        <v/>
      </c>
      <c r="I35" s="186"/>
    </row>
    <row r="36" spans="1:9" ht="15" customHeight="1" x14ac:dyDescent="0.25">
      <c r="A36" s="215"/>
      <c r="C36" s="33" t="s">
        <v>662</v>
      </c>
      <c r="D36" s="7" t="s">
        <v>548</v>
      </c>
      <c r="E36" s="67" t="s">
        <v>6</v>
      </c>
      <c r="F36" s="183" t="str">
        <f>IF(Table97[[#This Row],[Result]]="NC","n","")</f>
        <v/>
      </c>
      <c r="G36" s="184" t="str">
        <f>IF(Table97[[#This Row],[Result]]="pC","n","")</f>
        <v>n</v>
      </c>
      <c r="H36" s="185" t="str">
        <f>IF(Table97[[#This Row],[Result]]="C","n","")</f>
        <v/>
      </c>
      <c r="I36" s="186"/>
    </row>
    <row r="37" spans="1:9" ht="15" customHeight="1" x14ac:dyDescent="0.25">
      <c r="A37" s="215"/>
      <c r="C37" s="33" t="s">
        <v>663</v>
      </c>
      <c r="D37" s="7" t="s">
        <v>549</v>
      </c>
      <c r="E37" s="84" t="s">
        <v>5</v>
      </c>
      <c r="F37" s="183" t="str">
        <f>IF(Table97[[#This Row],[Result]]="NC","n","")</f>
        <v>n</v>
      </c>
      <c r="G37" s="184" t="str">
        <f>IF(Table97[[#This Row],[Result]]="pC","n","")</f>
        <v/>
      </c>
      <c r="H37" s="185" t="str">
        <f>IF(Table97[[#This Row],[Result]]="C","n","")</f>
        <v/>
      </c>
      <c r="I37" s="186"/>
    </row>
    <row r="38" spans="1:9" ht="15" customHeight="1" x14ac:dyDescent="0.25">
      <c r="A38" s="215"/>
      <c r="C38" s="33" t="s">
        <v>664</v>
      </c>
      <c r="D38" s="7" t="s">
        <v>550</v>
      </c>
      <c r="E38" s="84" t="s">
        <v>5</v>
      </c>
      <c r="F38" s="183" t="str">
        <f>IF(Table97[[#This Row],[Result]]="NC","n","")</f>
        <v>n</v>
      </c>
      <c r="G38" s="184" t="str">
        <f>IF(Table97[[#This Row],[Result]]="pC","n","")</f>
        <v/>
      </c>
      <c r="H38" s="185" t="str">
        <f>IF(Table97[[#This Row],[Result]]="C","n","")</f>
        <v/>
      </c>
      <c r="I38" s="186"/>
    </row>
    <row r="39" spans="1:9" ht="15" customHeight="1" x14ac:dyDescent="0.25">
      <c r="A39" s="215"/>
      <c r="C39" s="33" t="s">
        <v>665</v>
      </c>
      <c r="D39" s="7" t="s">
        <v>551</v>
      </c>
      <c r="E39" s="84" t="s">
        <v>6</v>
      </c>
      <c r="F39" s="183" t="str">
        <f>IF(Table97[[#This Row],[Result]]="NC","n","")</f>
        <v/>
      </c>
      <c r="G39" s="184" t="str">
        <f>IF(Table97[[#This Row],[Result]]="pC","n","")</f>
        <v>n</v>
      </c>
      <c r="H39" s="185" t="str">
        <f>IF(Table97[[#This Row],[Result]]="C","n","")</f>
        <v/>
      </c>
      <c r="I39" s="186"/>
    </row>
    <row r="40" spans="1:9" ht="15" customHeight="1" x14ac:dyDescent="0.25">
      <c r="A40" s="215"/>
      <c r="C40" s="33" t="s">
        <v>666</v>
      </c>
      <c r="D40" s="7" t="s">
        <v>552</v>
      </c>
      <c r="E40" s="84" t="s">
        <v>7</v>
      </c>
      <c r="F40" s="183" t="str">
        <f>IF(Table97[[#This Row],[Result]]="NC","n","")</f>
        <v/>
      </c>
      <c r="G40" s="184" t="str">
        <f>IF(Table97[[#This Row],[Result]]="pC","n","")</f>
        <v/>
      </c>
      <c r="H40" s="185" t="str">
        <f>IF(Table97[[#This Row],[Result]]="C","n","")</f>
        <v>n</v>
      </c>
      <c r="I40" s="186"/>
    </row>
    <row r="41" spans="1:9" ht="15" customHeight="1" x14ac:dyDescent="0.25">
      <c r="A41" s="215"/>
      <c r="C41" s="33" t="s">
        <v>667</v>
      </c>
      <c r="D41" s="7" t="s">
        <v>553</v>
      </c>
      <c r="E41" s="84" t="s">
        <v>7</v>
      </c>
      <c r="F41" s="183" t="str">
        <f>IF(Table97[[#This Row],[Result]]="NC","n","")</f>
        <v/>
      </c>
      <c r="G41" s="184" t="str">
        <f>IF(Table97[[#This Row],[Result]]="pC","n","")</f>
        <v/>
      </c>
      <c r="H41" s="185" t="str">
        <f>IF(Table97[[#This Row],[Result]]="C","n","")</f>
        <v>n</v>
      </c>
      <c r="I41" s="186"/>
    </row>
    <row r="42" spans="1:9" ht="15" customHeight="1" x14ac:dyDescent="0.25">
      <c r="A42" s="215"/>
      <c r="C42" s="33" t="s">
        <v>668</v>
      </c>
      <c r="D42" s="7" t="s">
        <v>554</v>
      </c>
      <c r="E42" s="84" t="s">
        <v>6</v>
      </c>
      <c r="F42" s="183" t="str">
        <f>IF(Table97[[#This Row],[Result]]="NC","n","")</f>
        <v/>
      </c>
      <c r="G42" s="184" t="str">
        <f>IF(Table97[[#This Row],[Result]]="pC","n","")</f>
        <v>n</v>
      </c>
      <c r="H42" s="185" t="str">
        <f>IF(Table97[[#This Row],[Result]]="C","n","")</f>
        <v/>
      </c>
      <c r="I42" s="186"/>
    </row>
    <row r="43" spans="1:9" ht="15" customHeight="1" x14ac:dyDescent="0.25">
      <c r="A43" s="215" t="s">
        <v>621</v>
      </c>
      <c r="C43" s="33" t="s">
        <v>669</v>
      </c>
      <c r="D43" s="7" t="s">
        <v>555</v>
      </c>
      <c r="E43" s="84" t="s">
        <v>5</v>
      </c>
      <c r="F43" s="183" t="str">
        <f>IF(Table97[[#This Row],[Result]]="NC","n","")</f>
        <v>n</v>
      </c>
      <c r="G43" s="184" t="str">
        <f>IF(Table97[[#This Row],[Result]]="pC","n","")</f>
        <v/>
      </c>
      <c r="H43" s="185" t="str">
        <f>IF(Table97[[#This Row],[Result]]="C","n","")</f>
        <v/>
      </c>
      <c r="I43" s="186"/>
    </row>
    <row r="44" spans="1:9" ht="15" customHeight="1" x14ac:dyDescent="0.25">
      <c r="A44" s="215"/>
      <c r="C44" s="33" t="s">
        <v>670</v>
      </c>
      <c r="D44" s="7" t="s">
        <v>556</v>
      </c>
      <c r="E44" s="84" t="s">
        <v>7</v>
      </c>
      <c r="F44" s="183" t="str">
        <f>IF(Table97[[#This Row],[Result]]="NC","n","")</f>
        <v/>
      </c>
      <c r="G44" s="184" t="str">
        <f>IF(Table97[[#This Row],[Result]]="pC","n","")</f>
        <v/>
      </c>
      <c r="H44" s="185" t="str">
        <f>IF(Table97[[#This Row],[Result]]="C","n","")</f>
        <v>n</v>
      </c>
      <c r="I44" s="186"/>
    </row>
    <row r="45" spans="1:9" ht="15" customHeight="1" x14ac:dyDescent="0.25">
      <c r="A45" s="215"/>
      <c r="C45" s="33" t="s">
        <v>671</v>
      </c>
      <c r="D45" s="7" t="s">
        <v>557</v>
      </c>
      <c r="E45" s="84" t="s">
        <v>5</v>
      </c>
      <c r="F45" s="183" t="str">
        <f>IF(Table97[[#This Row],[Result]]="NC","n","")</f>
        <v>n</v>
      </c>
      <c r="G45" s="184" t="str">
        <f>IF(Table97[[#This Row],[Result]]="pC","n","")</f>
        <v/>
      </c>
      <c r="H45" s="185" t="str">
        <f>IF(Table97[[#This Row],[Result]]="C","n","")</f>
        <v/>
      </c>
      <c r="I45" s="186"/>
    </row>
    <row r="46" spans="1:9" ht="15" customHeight="1" x14ac:dyDescent="0.25">
      <c r="A46" s="215"/>
      <c r="C46" s="33" t="s">
        <v>672</v>
      </c>
      <c r="D46" s="7" t="s">
        <v>558</v>
      </c>
      <c r="E46" s="84" t="s">
        <v>7</v>
      </c>
      <c r="F46" s="183" t="str">
        <f>IF(Table97[[#This Row],[Result]]="NC","n","")</f>
        <v/>
      </c>
      <c r="G46" s="184" t="str">
        <f>IF(Table97[[#This Row],[Result]]="pC","n","")</f>
        <v/>
      </c>
      <c r="H46" s="185" t="str">
        <f>IF(Table97[[#This Row],[Result]]="C","n","")</f>
        <v>n</v>
      </c>
      <c r="I46" s="186"/>
    </row>
    <row r="47" spans="1:9" ht="15" customHeight="1" x14ac:dyDescent="0.25">
      <c r="A47" s="215"/>
      <c r="C47" s="33" t="s">
        <v>673</v>
      </c>
      <c r="D47" s="7" t="s">
        <v>559</v>
      </c>
      <c r="E47" s="84" t="s">
        <v>6</v>
      </c>
      <c r="F47" s="183" t="str">
        <f>IF(Table97[[#This Row],[Result]]="NC","n","")</f>
        <v/>
      </c>
      <c r="G47" s="184" t="str">
        <f>IF(Table97[[#This Row],[Result]]="pC","n","")</f>
        <v>n</v>
      </c>
      <c r="H47" s="185" t="str">
        <f>IF(Table97[[#This Row],[Result]]="C","n","")</f>
        <v/>
      </c>
      <c r="I47" s="186"/>
    </row>
    <row r="48" spans="1:9" ht="15" customHeight="1" x14ac:dyDescent="0.25">
      <c r="A48" s="215"/>
      <c r="C48" s="33" t="s">
        <v>674</v>
      </c>
      <c r="D48" s="7" t="s">
        <v>560</v>
      </c>
      <c r="E48" s="67" t="s">
        <v>6</v>
      </c>
      <c r="F48" s="183" t="str">
        <f>IF(Table97[[#This Row],[Result]]="NC","n","")</f>
        <v/>
      </c>
      <c r="G48" s="184" t="str">
        <f>IF(Table97[[#This Row],[Result]]="pC","n","")</f>
        <v>n</v>
      </c>
      <c r="H48" s="185" t="str">
        <f>IF(Table97[[#This Row],[Result]]="C","n","")</f>
        <v/>
      </c>
      <c r="I48" s="186"/>
    </row>
    <row r="49" spans="1:9" ht="15" customHeight="1" x14ac:dyDescent="0.25">
      <c r="A49" s="215"/>
      <c r="C49" s="33" t="s">
        <v>675</v>
      </c>
      <c r="D49" s="7" t="s">
        <v>561</v>
      </c>
      <c r="E49" s="84" t="s">
        <v>5</v>
      </c>
      <c r="F49" s="183" t="str">
        <f>IF(Table97[[#This Row],[Result]]="NC","n","")</f>
        <v>n</v>
      </c>
      <c r="G49" s="184" t="str">
        <f>IF(Table97[[#This Row],[Result]]="pC","n","")</f>
        <v/>
      </c>
      <c r="H49" s="185" t="str">
        <f>IF(Table97[[#This Row],[Result]]="C","n","")</f>
        <v/>
      </c>
      <c r="I49" s="186"/>
    </row>
    <row r="50" spans="1:9" ht="15" customHeight="1" x14ac:dyDescent="0.25">
      <c r="A50" s="215"/>
      <c r="C50" s="33" t="s">
        <v>676</v>
      </c>
      <c r="D50" s="7" t="s">
        <v>562</v>
      </c>
      <c r="E50" s="84" t="s">
        <v>5</v>
      </c>
      <c r="F50" s="183" t="str">
        <f>IF(Table97[[#This Row],[Result]]="NC","n","")</f>
        <v>n</v>
      </c>
      <c r="G50" s="184" t="str">
        <f>IF(Table97[[#This Row],[Result]]="pC","n","")</f>
        <v/>
      </c>
      <c r="H50" s="185" t="str">
        <f>IF(Table97[[#This Row],[Result]]="C","n","")</f>
        <v/>
      </c>
      <c r="I50" s="186"/>
    </row>
    <row r="51" spans="1:9" ht="15" customHeight="1" x14ac:dyDescent="0.25">
      <c r="A51" s="215"/>
      <c r="C51" s="33" t="s">
        <v>677</v>
      </c>
      <c r="D51" s="7" t="s">
        <v>563</v>
      </c>
      <c r="E51" s="84" t="s">
        <v>6</v>
      </c>
      <c r="F51" s="183" t="str">
        <f>IF(Table97[[#This Row],[Result]]="NC","n","")</f>
        <v/>
      </c>
      <c r="G51" s="184" t="str">
        <f>IF(Table97[[#This Row],[Result]]="pC","n","")</f>
        <v>n</v>
      </c>
      <c r="H51" s="185" t="str">
        <f>IF(Table97[[#This Row],[Result]]="C","n","")</f>
        <v/>
      </c>
      <c r="I51" s="186"/>
    </row>
    <row r="52" spans="1:9" ht="15" customHeight="1" x14ac:dyDescent="0.25">
      <c r="A52" s="215"/>
      <c r="C52" s="33" t="s">
        <v>678</v>
      </c>
      <c r="D52" s="7" t="s">
        <v>564</v>
      </c>
      <c r="E52" s="84" t="s">
        <v>7</v>
      </c>
      <c r="F52" s="183" t="str">
        <f>IF(Table97[[#This Row],[Result]]="NC","n","")</f>
        <v/>
      </c>
      <c r="G52" s="184" t="str">
        <f>IF(Table97[[#This Row],[Result]]="pC","n","")</f>
        <v/>
      </c>
      <c r="H52" s="185" t="str">
        <f>IF(Table97[[#This Row],[Result]]="C","n","")</f>
        <v>n</v>
      </c>
      <c r="I52" s="186"/>
    </row>
    <row r="53" spans="1:9" ht="15" customHeight="1" x14ac:dyDescent="0.25">
      <c r="A53" s="215"/>
      <c r="C53" s="33" t="s">
        <v>679</v>
      </c>
      <c r="D53" s="7" t="s">
        <v>565</v>
      </c>
      <c r="E53" s="84" t="s">
        <v>7</v>
      </c>
      <c r="F53" s="183" t="str">
        <f>IF(Table97[[#This Row],[Result]]="NC","n","")</f>
        <v/>
      </c>
      <c r="G53" s="184" t="str">
        <f>IF(Table97[[#This Row],[Result]]="pC","n","")</f>
        <v/>
      </c>
      <c r="H53" s="185" t="str">
        <f>IF(Table97[[#This Row],[Result]]="C","n","")</f>
        <v>n</v>
      </c>
      <c r="I53" s="186"/>
    </row>
    <row r="54" spans="1:9" ht="15" customHeight="1" x14ac:dyDescent="0.25">
      <c r="A54" s="215"/>
      <c r="C54" s="33" t="s">
        <v>680</v>
      </c>
      <c r="D54" s="7" t="s">
        <v>566</v>
      </c>
      <c r="E54" s="84" t="s">
        <v>7</v>
      </c>
      <c r="F54" s="183" t="str">
        <f>IF(Table97[[#This Row],[Result]]="NC","n","")</f>
        <v/>
      </c>
      <c r="G54" s="184" t="str">
        <f>IF(Table97[[#This Row],[Result]]="pC","n","")</f>
        <v/>
      </c>
      <c r="H54" s="185" t="str">
        <f>IF(Table97[[#This Row],[Result]]="C","n","")</f>
        <v>n</v>
      </c>
      <c r="I54" s="186"/>
    </row>
    <row r="55" spans="1:9" ht="15" customHeight="1" x14ac:dyDescent="0.25">
      <c r="A55" s="215"/>
      <c r="C55" s="33" t="s">
        <v>681</v>
      </c>
      <c r="D55" s="7" t="s">
        <v>567</v>
      </c>
      <c r="E55" s="84" t="s">
        <v>6</v>
      </c>
      <c r="F55" s="183" t="str">
        <f>IF(Table97[[#This Row],[Result]]="NC","n","")</f>
        <v/>
      </c>
      <c r="G55" s="184" t="str">
        <f>IF(Table97[[#This Row],[Result]]="pC","n","")</f>
        <v>n</v>
      </c>
      <c r="H55" s="185" t="str">
        <f>IF(Table97[[#This Row],[Result]]="C","n","")</f>
        <v/>
      </c>
      <c r="I55" s="186"/>
    </row>
    <row r="56" spans="1:9" ht="15" customHeight="1" x14ac:dyDescent="0.25">
      <c r="A56" s="215"/>
      <c r="C56" s="33" t="s">
        <v>682</v>
      </c>
      <c r="D56" s="7" t="s">
        <v>568</v>
      </c>
      <c r="E56" s="84" t="s">
        <v>5</v>
      </c>
      <c r="F56" s="183" t="str">
        <f>IF(Table97[[#This Row],[Result]]="NC","n","")</f>
        <v>n</v>
      </c>
      <c r="G56" s="184" t="str">
        <f>IF(Table97[[#This Row],[Result]]="pC","n","")</f>
        <v/>
      </c>
      <c r="H56" s="185" t="str">
        <f>IF(Table97[[#This Row],[Result]]="C","n","")</f>
        <v/>
      </c>
      <c r="I56" s="186"/>
    </row>
    <row r="57" spans="1:9" ht="15" customHeight="1" x14ac:dyDescent="0.25">
      <c r="A57" s="215"/>
      <c r="C57" s="33" t="s">
        <v>683</v>
      </c>
      <c r="D57" s="7" t="s">
        <v>569</v>
      </c>
      <c r="E57" s="84" t="s">
        <v>7</v>
      </c>
      <c r="F57" s="183" t="str">
        <f>IF(Table97[[#This Row],[Result]]="NC","n","")</f>
        <v/>
      </c>
      <c r="G57" s="184" t="str">
        <f>IF(Table97[[#This Row],[Result]]="pC","n","")</f>
        <v/>
      </c>
      <c r="H57" s="185" t="str">
        <f>IF(Table97[[#This Row],[Result]]="C","n","")</f>
        <v>n</v>
      </c>
      <c r="I57" s="186"/>
    </row>
    <row r="58" spans="1:9" ht="15" customHeight="1" x14ac:dyDescent="0.25">
      <c r="A58" s="215" t="s">
        <v>622</v>
      </c>
      <c r="C58" s="33" t="s">
        <v>684</v>
      </c>
      <c r="D58" s="7" t="s">
        <v>570</v>
      </c>
      <c r="E58" s="84" t="s">
        <v>5</v>
      </c>
      <c r="F58" s="183" t="str">
        <f>IF(Table97[[#This Row],[Result]]="NC","n","")</f>
        <v>n</v>
      </c>
      <c r="G58" s="184" t="str">
        <f>IF(Table97[[#This Row],[Result]]="pC","n","")</f>
        <v/>
      </c>
      <c r="H58" s="185" t="str">
        <f>IF(Table97[[#This Row],[Result]]="C","n","")</f>
        <v/>
      </c>
      <c r="I58" s="186"/>
    </row>
    <row r="59" spans="1:9" ht="15" customHeight="1" x14ac:dyDescent="0.25">
      <c r="A59" s="215"/>
      <c r="C59" s="33" t="s">
        <v>685</v>
      </c>
      <c r="D59" s="7" t="s">
        <v>571</v>
      </c>
      <c r="E59" s="84" t="s">
        <v>7</v>
      </c>
      <c r="F59" s="183" t="str">
        <f>IF(Table97[[#This Row],[Result]]="NC","n","")</f>
        <v/>
      </c>
      <c r="G59" s="184" t="str">
        <f>IF(Table97[[#This Row],[Result]]="pC","n","")</f>
        <v/>
      </c>
      <c r="H59" s="185" t="str">
        <f>IF(Table97[[#This Row],[Result]]="C","n","")</f>
        <v>n</v>
      </c>
      <c r="I59" s="186"/>
    </row>
    <row r="60" spans="1:9" ht="15" customHeight="1" x14ac:dyDescent="0.25">
      <c r="A60" s="215"/>
      <c r="C60" s="33" t="s">
        <v>686</v>
      </c>
      <c r="D60" s="7" t="s">
        <v>572</v>
      </c>
      <c r="E60" s="84" t="s">
        <v>6</v>
      </c>
      <c r="F60" s="183" t="str">
        <f>IF(Table97[[#This Row],[Result]]="NC","n","")</f>
        <v/>
      </c>
      <c r="G60" s="184" t="str">
        <f>IF(Table97[[#This Row],[Result]]="pC","n","")</f>
        <v>n</v>
      </c>
      <c r="H60" s="185" t="str">
        <f>IF(Table97[[#This Row],[Result]]="C","n","")</f>
        <v/>
      </c>
      <c r="I60" s="186"/>
    </row>
    <row r="61" spans="1:9" ht="15" customHeight="1" x14ac:dyDescent="0.25">
      <c r="A61" s="215"/>
      <c r="C61" s="33" t="s">
        <v>687</v>
      </c>
      <c r="D61" s="7" t="s">
        <v>573</v>
      </c>
      <c r="E61" s="67" t="s">
        <v>6</v>
      </c>
      <c r="F61" s="183" t="str">
        <f>IF(Table97[[#This Row],[Result]]="NC","n","")</f>
        <v/>
      </c>
      <c r="G61" s="184" t="str">
        <f>IF(Table97[[#This Row],[Result]]="pC","n","")</f>
        <v>n</v>
      </c>
      <c r="H61" s="185" t="str">
        <f>IF(Table97[[#This Row],[Result]]="C","n","")</f>
        <v/>
      </c>
      <c r="I61" s="186"/>
    </row>
    <row r="62" spans="1:9" ht="15" customHeight="1" x14ac:dyDescent="0.25">
      <c r="A62" s="215"/>
      <c r="C62" s="33" t="s">
        <v>688</v>
      </c>
      <c r="D62" s="7" t="s">
        <v>574</v>
      </c>
      <c r="E62" s="84" t="s">
        <v>6</v>
      </c>
      <c r="F62" s="183" t="str">
        <f>IF(Table97[[#This Row],[Result]]="NC","n","")</f>
        <v/>
      </c>
      <c r="G62" s="184" t="str">
        <f>IF(Table97[[#This Row],[Result]]="pC","n","")</f>
        <v>n</v>
      </c>
      <c r="H62" s="185" t="str">
        <f>IF(Table97[[#This Row],[Result]]="C","n","")</f>
        <v/>
      </c>
      <c r="I62" s="186"/>
    </row>
    <row r="63" spans="1:9" ht="15" customHeight="1" x14ac:dyDescent="0.25">
      <c r="A63" s="215"/>
      <c r="C63" s="33" t="s">
        <v>689</v>
      </c>
      <c r="D63" s="7" t="s">
        <v>575</v>
      </c>
      <c r="E63" s="84" t="s">
        <v>7</v>
      </c>
      <c r="F63" s="183" t="str">
        <f>IF(Table97[[#This Row],[Result]]="NC","n","")</f>
        <v/>
      </c>
      <c r="G63" s="184" t="str">
        <f>IF(Table97[[#This Row],[Result]]="pC","n","")</f>
        <v/>
      </c>
      <c r="H63" s="185" t="str">
        <f>IF(Table97[[#This Row],[Result]]="C","n","")</f>
        <v>n</v>
      </c>
      <c r="I63" s="186"/>
    </row>
    <row r="64" spans="1:9" ht="15" customHeight="1" x14ac:dyDescent="0.25">
      <c r="A64" s="215"/>
      <c r="C64" s="33" t="s">
        <v>690</v>
      </c>
      <c r="D64" s="7" t="s">
        <v>576</v>
      </c>
      <c r="E64" s="84" t="s">
        <v>7</v>
      </c>
      <c r="F64" s="183" t="str">
        <f>IF(Table97[[#This Row],[Result]]="NC","n","")</f>
        <v/>
      </c>
      <c r="G64" s="184" t="str">
        <f>IF(Table97[[#This Row],[Result]]="pC","n","")</f>
        <v/>
      </c>
      <c r="H64" s="185" t="str">
        <f>IF(Table97[[#This Row],[Result]]="C","n","")</f>
        <v>n</v>
      </c>
      <c r="I64" s="186"/>
    </row>
    <row r="65" spans="1:9" ht="15" customHeight="1" x14ac:dyDescent="0.25">
      <c r="A65" s="215" t="s">
        <v>623</v>
      </c>
      <c r="C65" s="33" t="s">
        <v>691</v>
      </c>
      <c r="D65" s="7" t="s">
        <v>577</v>
      </c>
      <c r="E65" s="84" t="s">
        <v>7</v>
      </c>
      <c r="F65" s="183" t="str">
        <f>IF(Table97[[#This Row],[Result]]="NC","n","")</f>
        <v/>
      </c>
      <c r="G65" s="184" t="str">
        <f>IF(Table97[[#This Row],[Result]]="pC","n","")</f>
        <v/>
      </c>
      <c r="H65" s="185" t="str">
        <f>IF(Table97[[#This Row],[Result]]="C","n","")</f>
        <v>n</v>
      </c>
      <c r="I65" s="186"/>
    </row>
    <row r="66" spans="1:9" ht="15" customHeight="1" x14ac:dyDescent="0.25">
      <c r="A66" s="215"/>
      <c r="C66" s="33" t="s">
        <v>692</v>
      </c>
      <c r="D66" s="7" t="s">
        <v>578</v>
      </c>
      <c r="E66" s="84" t="s">
        <v>6</v>
      </c>
      <c r="F66" s="183" t="str">
        <f>IF(Table97[[#This Row],[Result]]="NC","n","")</f>
        <v/>
      </c>
      <c r="G66" s="184" t="str">
        <f>IF(Table97[[#This Row],[Result]]="pC","n","")</f>
        <v>n</v>
      </c>
      <c r="H66" s="185" t="str">
        <f>IF(Table97[[#This Row],[Result]]="C","n","")</f>
        <v/>
      </c>
      <c r="I66" s="186"/>
    </row>
    <row r="67" spans="1:9" ht="15" customHeight="1" x14ac:dyDescent="0.25">
      <c r="A67" s="215"/>
      <c r="C67" s="33" t="s">
        <v>693</v>
      </c>
      <c r="D67" s="7" t="s">
        <v>579</v>
      </c>
      <c r="E67" s="84" t="s">
        <v>5</v>
      </c>
      <c r="F67" s="183" t="str">
        <f>IF(Table97[[#This Row],[Result]]="NC","n","")</f>
        <v>n</v>
      </c>
      <c r="G67" s="184" t="str">
        <f>IF(Table97[[#This Row],[Result]]="pC","n","")</f>
        <v/>
      </c>
      <c r="H67" s="185" t="str">
        <f>IF(Table97[[#This Row],[Result]]="C","n","")</f>
        <v/>
      </c>
      <c r="I67" s="186"/>
    </row>
    <row r="68" spans="1:9" ht="15" customHeight="1" x14ac:dyDescent="0.25">
      <c r="A68" s="215"/>
      <c r="C68" s="33" t="s">
        <v>694</v>
      </c>
      <c r="D68" s="7" t="s">
        <v>580</v>
      </c>
      <c r="E68" s="84" t="s">
        <v>7</v>
      </c>
      <c r="F68" s="183" t="str">
        <f>IF(Table97[[#This Row],[Result]]="NC","n","")</f>
        <v/>
      </c>
      <c r="G68" s="184" t="str">
        <f>IF(Table97[[#This Row],[Result]]="pC","n","")</f>
        <v/>
      </c>
      <c r="H68" s="185" t="str">
        <f>IF(Table97[[#This Row],[Result]]="C","n","")</f>
        <v>n</v>
      </c>
      <c r="I68" s="186"/>
    </row>
    <row r="69" spans="1:9" ht="15" customHeight="1" x14ac:dyDescent="0.25">
      <c r="A69" s="215"/>
      <c r="C69" s="33" t="s">
        <v>695</v>
      </c>
      <c r="D69" s="7" t="s">
        <v>581</v>
      </c>
      <c r="E69" s="84" t="s">
        <v>5</v>
      </c>
      <c r="F69" s="183" t="str">
        <f>IF(Table97[[#This Row],[Result]]="NC","n","")</f>
        <v>n</v>
      </c>
      <c r="G69" s="184" t="str">
        <f>IF(Table97[[#This Row],[Result]]="pC","n","")</f>
        <v/>
      </c>
      <c r="H69" s="185" t="str">
        <f>IF(Table97[[#This Row],[Result]]="C","n","")</f>
        <v/>
      </c>
      <c r="I69" s="186"/>
    </row>
    <row r="70" spans="1:9" ht="15" customHeight="1" x14ac:dyDescent="0.25">
      <c r="A70" s="215"/>
      <c r="C70" s="33" t="s">
        <v>696</v>
      </c>
      <c r="D70" s="7" t="s">
        <v>582</v>
      </c>
      <c r="E70" s="84" t="s">
        <v>7</v>
      </c>
      <c r="F70" s="183" t="str">
        <f>IF(Table97[[#This Row],[Result]]="NC","n","")</f>
        <v/>
      </c>
      <c r="G70" s="184" t="str">
        <f>IF(Table97[[#This Row],[Result]]="pC","n","")</f>
        <v/>
      </c>
      <c r="H70" s="185" t="str">
        <f>IF(Table97[[#This Row],[Result]]="C","n","")</f>
        <v>n</v>
      </c>
      <c r="I70" s="186"/>
    </row>
    <row r="71" spans="1:9" ht="15" customHeight="1" x14ac:dyDescent="0.25">
      <c r="A71" s="215" t="s">
        <v>624</v>
      </c>
      <c r="C71" s="33" t="s">
        <v>697</v>
      </c>
      <c r="D71" s="7" t="s">
        <v>583</v>
      </c>
      <c r="E71" s="84" t="s">
        <v>6</v>
      </c>
      <c r="F71" s="183" t="str">
        <f>IF(Table97[[#This Row],[Result]]="NC","n","")</f>
        <v/>
      </c>
      <c r="G71" s="184" t="str">
        <f>IF(Table97[[#This Row],[Result]]="pC","n","")</f>
        <v>n</v>
      </c>
      <c r="H71" s="185" t="str">
        <f>IF(Table97[[#This Row],[Result]]="C","n","")</f>
        <v/>
      </c>
      <c r="I71" s="186"/>
    </row>
    <row r="72" spans="1:9" ht="15" customHeight="1" x14ac:dyDescent="0.25">
      <c r="A72" s="215"/>
      <c r="C72" s="33" t="s">
        <v>698</v>
      </c>
      <c r="D72" s="7" t="s">
        <v>584</v>
      </c>
      <c r="E72" s="84" t="s">
        <v>7</v>
      </c>
      <c r="F72" s="183" t="str">
        <f>IF(Table97[[#This Row],[Result]]="NC","n","")</f>
        <v/>
      </c>
      <c r="G72" s="184" t="str">
        <f>IF(Table97[[#This Row],[Result]]="pC","n","")</f>
        <v/>
      </c>
      <c r="H72" s="185" t="str">
        <f>IF(Table97[[#This Row],[Result]]="C","n","")</f>
        <v>n</v>
      </c>
      <c r="I72" s="186"/>
    </row>
    <row r="73" spans="1:9" ht="15" customHeight="1" x14ac:dyDescent="0.25">
      <c r="A73" s="215"/>
      <c r="C73" s="33" t="s">
        <v>699</v>
      </c>
      <c r="D73" s="7" t="s">
        <v>585</v>
      </c>
      <c r="E73" s="84" t="s">
        <v>7</v>
      </c>
      <c r="F73" s="183" t="str">
        <f>IF(Table97[[#This Row],[Result]]="NC","n","")</f>
        <v/>
      </c>
      <c r="G73" s="184" t="str">
        <f>IF(Table97[[#This Row],[Result]]="pC","n","")</f>
        <v/>
      </c>
      <c r="H73" s="185" t="str">
        <f>IF(Table97[[#This Row],[Result]]="C","n","")</f>
        <v>n</v>
      </c>
      <c r="I73" s="186"/>
    </row>
    <row r="74" spans="1:9" ht="15" customHeight="1" x14ac:dyDescent="0.25">
      <c r="A74" s="215"/>
      <c r="C74" s="33" t="s">
        <v>700</v>
      </c>
      <c r="D74" s="7" t="s">
        <v>586</v>
      </c>
      <c r="E74" s="84" t="s">
        <v>7</v>
      </c>
      <c r="F74" s="183" t="str">
        <f>IF(Table97[[#This Row],[Result]]="NC","n","")</f>
        <v/>
      </c>
      <c r="G74" s="184" t="str">
        <f>IF(Table97[[#This Row],[Result]]="pC","n","")</f>
        <v/>
      </c>
      <c r="H74" s="185" t="str">
        <f>IF(Table97[[#This Row],[Result]]="C","n","")</f>
        <v>n</v>
      </c>
      <c r="I74" s="186"/>
    </row>
    <row r="75" spans="1:9" ht="15" customHeight="1" x14ac:dyDescent="0.25">
      <c r="A75" s="215"/>
      <c r="C75" s="33" t="s">
        <v>701</v>
      </c>
      <c r="D75" s="7" t="s">
        <v>587</v>
      </c>
      <c r="E75" s="84" t="s">
        <v>6</v>
      </c>
      <c r="F75" s="183" t="str">
        <f>IF(Table97[[#This Row],[Result]]="NC","n","")</f>
        <v/>
      </c>
      <c r="G75" s="184" t="str">
        <f>IF(Table97[[#This Row],[Result]]="pC","n","")</f>
        <v>n</v>
      </c>
      <c r="H75" s="185" t="str">
        <f>IF(Table97[[#This Row],[Result]]="C","n","")</f>
        <v/>
      </c>
      <c r="I75" s="186"/>
    </row>
    <row r="76" spans="1:9" ht="15" customHeight="1" x14ac:dyDescent="0.25">
      <c r="A76" s="215"/>
      <c r="C76" s="33" t="s">
        <v>702</v>
      </c>
      <c r="D76" s="7" t="s">
        <v>588</v>
      </c>
      <c r="E76" s="84" t="s">
        <v>5</v>
      </c>
      <c r="F76" s="183" t="str">
        <f>IF(Table97[[#This Row],[Result]]="NC","n","")</f>
        <v>n</v>
      </c>
      <c r="G76" s="184" t="str">
        <f>IF(Table97[[#This Row],[Result]]="pC","n","")</f>
        <v/>
      </c>
      <c r="H76" s="185" t="str">
        <f>IF(Table97[[#This Row],[Result]]="C","n","")</f>
        <v/>
      </c>
      <c r="I76" s="186"/>
    </row>
    <row r="77" spans="1:9" ht="15" customHeight="1" x14ac:dyDescent="0.25">
      <c r="A77" s="215"/>
      <c r="C77" s="33" t="s">
        <v>703</v>
      </c>
      <c r="D77" s="7" t="s">
        <v>589</v>
      </c>
      <c r="E77" s="84" t="s">
        <v>7</v>
      </c>
      <c r="F77" s="183" t="str">
        <f>IF(Table97[[#This Row],[Result]]="NC","n","")</f>
        <v/>
      </c>
      <c r="G77" s="184" t="str">
        <f>IF(Table97[[#This Row],[Result]]="pC","n","")</f>
        <v/>
      </c>
      <c r="H77" s="185" t="str">
        <f>IF(Table97[[#This Row],[Result]]="C","n","")</f>
        <v>n</v>
      </c>
      <c r="I77" s="186"/>
    </row>
    <row r="78" spans="1:9" ht="15" customHeight="1" x14ac:dyDescent="0.25">
      <c r="A78" s="215"/>
      <c r="C78" s="33" t="s">
        <v>704</v>
      </c>
      <c r="D78" s="7" t="s">
        <v>590</v>
      </c>
      <c r="E78" s="84" t="s">
        <v>5</v>
      </c>
      <c r="F78" s="183" t="str">
        <f>IF(Table97[[#This Row],[Result]]="NC","n","")</f>
        <v>n</v>
      </c>
      <c r="G78" s="184" t="str">
        <f>IF(Table97[[#This Row],[Result]]="pC","n","")</f>
        <v/>
      </c>
      <c r="H78" s="185" t="str">
        <f>IF(Table97[[#This Row],[Result]]="C","n","")</f>
        <v/>
      </c>
      <c r="I78" s="186"/>
    </row>
    <row r="79" spans="1:9" ht="15" customHeight="1" x14ac:dyDescent="0.25">
      <c r="A79" s="215" t="s">
        <v>625</v>
      </c>
      <c r="C79" s="33" t="s">
        <v>705</v>
      </c>
      <c r="D79" s="7" t="s">
        <v>591</v>
      </c>
      <c r="E79" s="84" t="s">
        <v>7</v>
      </c>
      <c r="F79" s="183" t="str">
        <f>IF(Table97[[#This Row],[Result]]="NC","n","")</f>
        <v/>
      </c>
      <c r="G79" s="184" t="str">
        <f>IF(Table97[[#This Row],[Result]]="pC","n","")</f>
        <v/>
      </c>
      <c r="H79" s="185" t="str">
        <f>IF(Table97[[#This Row],[Result]]="C","n","")</f>
        <v>n</v>
      </c>
      <c r="I79" s="186"/>
    </row>
    <row r="80" spans="1:9" ht="15" customHeight="1" x14ac:dyDescent="0.25">
      <c r="A80" s="215"/>
      <c r="C80" s="33" t="s">
        <v>706</v>
      </c>
      <c r="D80" s="7" t="s">
        <v>630</v>
      </c>
      <c r="E80" s="84" t="s">
        <v>6</v>
      </c>
      <c r="F80" s="183" t="str">
        <f>IF(Table97[[#This Row],[Result]]="NC","n","")</f>
        <v/>
      </c>
      <c r="G80" s="184" t="str">
        <f>IF(Table97[[#This Row],[Result]]="pC","n","")</f>
        <v>n</v>
      </c>
      <c r="H80" s="185" t="str">
        <f>IF(Table97[[#This Row],[Result]]="C","n","")</f>
        <v/>
      </c>
      <c r="I80" s="186"/>
    </row>
    <row r="81" spans="1:9" ht="15" customHeight="1" x14ac:dyDescent="0.25">
      <c r="A81" s="215"/>
      <c r="C81" s="33" t="s">
        <v>707</v>
      </c>
      <c r="D81" s="7" t="s">
        <v>592</v>
      </c>
      <c r="E81" s="67" t="s">
        <v>6</v>
      </c>
      <c r="F81" s="183" t="str">
        <f>IF(Table97[[#This Row],[Result]]="NC","n","")</f>
        <v/>
      </c>
      <c r="G81" s="184" t="str">
        <f>IF(Table97[[#This Row],[Result]]="pC","n","")</f>
        <v>n</v>
      </c>
      <c r="H81" s="185" t="str">
        <f>IF(Table97[[#This Row],[Result]]="C","n","")</f>
        <v/>
      </c>
      <c r="I81" s="186"/>
    </row>
    <row r="82" spans="1:9" ht="15" customHeight="1" x14ac:dyDescent="0.25">
      <c r="A82" s="215"/>
      <c r="C82" s="33" t="s">
        <v>708</v>
      </c>
      <c r="D82" s="7" t="s">
        <v>593</v>
      </c>
      <c r="E82" s="84" t="s">
        <v>5</v>
      </c>
      <c r="F82" s="183" t="str">
        <f>IF(Table97[[#This Row],[Result]]="NC","n","")</f>
        <v>n</v>
      </c>
      <c r="G82" s="184" t="str">
        <f>IF(Table97[[#This Row],[Result]]="pC","n","")</f>
        <v/>
      </c>
      <c r="H82" s="185" t="str">
        <f>IF(Table97[[#This Row],[Result]]="C","n","")</f>
        <v/>
      </c>
      <c r="I82" s="186"/>
    </row>
    <row r="83" spans="1:9" ht="15" customHeight="1" x14ac:dyDescent="0.25">
      <c r="A83" s="215"/>
      <c r="C83" s="33" t="s">
        <v>709</v>
      </c>
      <c r="D83" s="7" t="s">
        <v>594</v>
      </c>
      <c r="E83" s="84" t="s">
        <v>5</v>
      </c>
      <c r="F83" s="183" t="str">
        <f>IF(Table97[[#This Row],[Result]]="NC","n","")</f>
        <v>n</v>
      </c>
      <c r="G83" s="184" t="str">
        <f>IF(Table97[[#This Row],[Result]]="pC","n","")</f>
        <v/>
      </c>
      <c r="H83" s="185" t="str">
        <f>IF(Table97[[#This Row],[Result]]="C","n","")</f>
        <v/>
      </c>
      <c r="I83" s="186"/>
    </row>
    <row r="84" spans="1:9" ht="15" customHeight="1" x14ac:dyDescent="0.25">
      <c r="A84" s="215"/>
      <c r="C84" s="33" t="s">
        <v>710</v>
      </c>
      <c r="D84" s="7" t="s">
        <v>595</v>
      </c>
      <c r="E84" s="84" t="s">
        <v>6</v>
      </c>
      <c r="F84" s="183" t="str">
        <f>IF(Table97[[#This Row],[Result]]="NC","n","")</f>
        <v/>
      </c>
      <c r="G84" s="184" t="str">
        <f>IF(Table97[[#This Row],[Result]]="pC","n","")</f>
        <v>n</v>
      </c>
      <c r="H84" s="185" t="str">
        <f>IF(Table97[[#This Row],[Result]]="C","n","")</f>
        <v/>
      </c>
      <c r="I84" s="186"/>
    </row>
    <row r="85" spans="1:9" ht="15" customHeight="1" x14ac:dyDescent="0.25">
      <c r="A85" s="215"/>
      <c r="C85" s="33" t="s">
        <v>711</v>
      </c>
      <c r="D85" s="7" t="s">
        <v>596</v>
      </c>
      <c r="E85" s="84" t="s">
        <v>7</v>
      </c>
      <c r="F85" s="183" t="str">
        <f>IF(Table97[[#This Row],[Result]]="NC","n","")</f>
        <v/>
      </c>
      <c r="G85" s="184" t="str">
        <f>IF(Table97[[#This Row],[Result]]="pC","n","")</f>
        <v/>
      </c>
      <c r="H85" s="185" t="str">
        <f>IF(Table97[[#This Row],[Result]]="C","n","")</f>
        <v>n</v>
      </c>
      <c r="I85" s="186"/>
    </row>
    <row r="86" spans="1:9" ht="15" customHeight="1" x14ac:dyDescent="0.25">
      <c r="A86" s="215"/>
      <c r="C86" s="33" t="s">
        <v>712</v>
      </c>
      <c r="D86" s="7" t="s">
        <v>597</v>
      </c>
      <c r="E86" s="84" t="s">
        <v>7</v>
      </c>
      <c r="F86" s="183" t="str">
        <f>IF(Table97[[#This Row],[Result]]="NC","n","")</f>
        <v/>
      </c>
      <c r="G86" s="184" t="str">
        <f>IF(Table97[[#This Row],[Result]]="pC","n","")</f>
        <v/>
      </c>
      <c r="H86" s="185" t="str">
        <f>IF(Table97[[#This Row],[Result]]="C","n","")</f>
        <v>n</v>
      </c>
      <c r="I86" s="186"/>
    </row>
    <row r="87" spans="1:9" ht="15" customHeight="1" x14ac:dyDescent="0.25">
      <c r="A87" s="215"/>
      <c r="C87" s="33" t="s">
        <v>713</v>
      </c>
      <c r="D87" s="7" t="s">
        <v>598</v>
      </c>
      <c r="E87" s="84" t="s">
        <v>7</v>
      </c>
      <c r="F87" s="183" t="str">
        <f>IF(Table97[[#This Row],[Result]]="NC","n","")</f>
        <v/>
      </c>
      <c r="G87" s="184" t="str">
        <f>IF(Table97[[#This Row],[Result]]="pC","n","")</f>
        <v/>
      </c>
      <c r="H87" s="185" t="str">
        <f>IF(Table97[[#This Row],[Result]]="C","n","")</f>
        <v>n</v>
      </c>
      <c r="I87" s="186"/>
    </row>
    <row r="88" spans="1:9" ht="15" customHeight="1" x14ac:dyDescent="0.25">
      <c r="A88" s="215"/>
      <c r="C88" s="33" t="s">
        <v>714</v>
      </c>
      <c r="D88" s="7" t="s">
        <v>599</v>
      </c>
      <c r="E88" s="84" t="s">
        <v>6</v>
      </c>
      <c r="F88" s="183" t="str">
        <f>IF(Table97[[#This Row],[Result]]="NC","n","")</f>
        <v/>
      </c>
      <c r="G88" s="184" t="str">
        <f>IF(Table97[[#This Row],[Result]]="pC","n","")</f>
        <v>n</v>
      </c>
      <c r="H88" s="185" t="str">
        <f>IF(Table97[[#This Row],[Result]]="C","n","")</f>
        <v/>
      </c>
      <c r="I88" s="186"/>
    </row>
    <row r="89" spans="1:9" ht="15" customHeight="1" x14ac:dyDescent="0.25">
      <c r="A89" s="215"/>
      <c r="C89" s="33" t="s">
        <v>715</v>
      </c>
      <c r="D89" s="7" t="s">
        <v>631</v>
      </c>
      <c r="E89" s="84" t="s">
        <v>5</v>
      </c>
      <c r="F89" s="183" t="str">
        <f>IF(Table97[[#This Row],[Result]]="NC","n","")</f>
        <v>n</v>
      </c>
      <c r="G89" s="184" t="str">
        <f>IF(Table97[[#This Row],[Result]]="pC","n","")</f>
        <v/>
      </c>
      <c r="H89" s="185" t="str">
        <f>IF(Table97[[#This Row],[Result]]="C","n","")</f>
        <v/>
      </c>
      <c r="I89" s="186"/>
    </row>
    <row r="90" spans="1:9" ht="15" customHeight="1" x14ac:dyDescent="0.25">
      <c r="A90" s="215"/>
      <c r="C90" s="33" t="s">
        <v>716</v>
      </c>
      <c r="D90" s="7" t="s">
        <v>600</v>
      </c>
      <c r="E90" s="84" t="s">
        <v>7</v>
      </c>
      <c r="F90" s="183" t="str">
        <f>IF(Table97[[#This Row],[Result]]="NC","n","")</f>
        <v/>
      </c>
      <c r="G90" s="184" t="str">
        <f>IF(Table97[[#This Row],[Result]]="pC","n","")</f>
        <v/>
      </c>
      <c r="H90" s="185" t="str">
        <f>IF(Table97[[#This Row],[Result]]="C","n","")</f>
        <v>n</v>
      </c>
      <c r="I90" s="186"/>
    </row>
    <row r="91" spans="1:9" ht="15" customHeight="1" x14ac:dyDescent="0.25">
      <c r="A91" s="215"/>
      <c r="C91" s="33" t="s">
        <v>717</v>
      </c>
      <c r="D91" s="7" t="s">
        <v>601</v>
      </c>
      <c r="E91" s="84" t="s">
        <v>5</v>
      </c>
      <c r="F91" s="183" t="str">
        <f>IF(Table97[[#This Row],[Result]]="NC","n","")</f>
        <v>n</v>
      </c>
      <c r="G91" s="184" t="str">
        <f>IF(Table97[[#This Row],[Result]]="pC","n","")</f>
        <v/>
      </c>
      <c r="H91" s="185" t="str">
        <f>IF(Table97[[#This Row],[Result]]="C","n","")</f>
        <v/>
      </c>
      <c r="I91" s="186"/>
    </row>
    <row r="92" spans="1:9" ht="15" customHeight="1" x14ac:dyDescent="0.25">
      <c r="A92" s="215"/>
      <c r="C92" s="33" t="s">
        <v>718</v>
      </c>
      <c r="D92" s="7" t="s">
        <v>602</v>
      </c>
      <c r="E92" s="84" t="s">
        <v>6</v>
      </c>
      <c r="F92" s="183" t="str">
        <f>IF(Table97[[#This Row],[Result]]="NC","n","")</f>
        <v/>
      </c>
      <c r="G92" s="184" t="str">
        <f>IF(Table97[[#This Row],[Result]]="pC","n","")</f>
        <v>n</v>
      </c>
      <c r="H92" s="185" t="str">
        <f>IF(Table97[[#This Row],[Result]]="C","n","")</f>
        <v/>
      </c>
      <c r="I92" s="186"/>
    </row>
    <row r="93" spans="1:9" ht="15" customHeight="1" x14ac:dyDescent="0.25">
      <c r="A93" s="215"/>
      <c r="C93" s="33" t="s">
        <v>719</v>
      </c>
      <c r="D93" s="7" t="s">
        <v>603</v>
      </c>
      <c r="E93" s="84" t="s">
        <v>7</v>
      </c>
      <c r="F93" s="183" t="str">
        <f>IF(Table97[[#This Row],[Result]]="NC","n","")</f>
        <v/>
      </c>
      <c r="G93" s="184" t="str">
        <f>IF(Table97[[#This Row],[Result]]="pC","n","")</f>
        <v/>
      </c>
      <c r="H93" s="185" t="str">
        <f>IF(Table97[[#This Row],[Result]]="C","n","")</f>
        <v>n</v>
      </c>
      <c r="I93" s="186"/>
    </row>
    <row r="94" spans="1:9" ht="15" customHeight="1" x14ac:dyDescent="0.25">
      <c r="A94" s="215"/>
      <c r="C94" s="33" t="s">
        <v>720</v>
      </c>
      <c r="D94" s="7" t="s">
        <v>604</v>
      </c>
      <c r="E94" s="84" t="s">
        <v>7</v>
      </c>
      <c r="F94" s="183" t="str">
        <f>IF(Table97[[#This Row],[Result]]="NC","n","")</f>
        <v/>
      </c>
      <c r="G94" s="184" t="str">
        <f>IF(Table97[[#This Row],[Result]]="pC","n","")</f>
        <v/>
      </c>
      <c r="H94" s="185" t="str">
        <f>IF(Table97[[#This Row],[Result]]="C","n","")</f>
        <v>n</v>
      </c>
      <c r="I94" s="186"/>
    </row>
    <row r="95" spans="1:9" ht="15" customHeight="1" x14ac:dyDescent="0.25">
      <c r="A95" s="215" t="s">
        <v>626</v>
      </c>
      <c r="C95" s="33" t="s">
        <v>721</v>
      </c>
      <c r="D95" s="7" t="s">
        <v>605</v>
      </c>
      <c r="E95" s="84" t="s">
        <v>7</v>
      </c>
      <c r="F95" s="183" t="str">
        <f>IF(Table97[[#This Row],[Result]]="NC","n","")</f>
        <v/>
      </c>
      <c r="G95" s="184" t="str">
        <f>IF(Table97[[#This Row],[Result]]="pC","n","")</f>
        <v/>
      </c>
      <c r="H95" s="185" t="str">
        <f>IF(Table97[[#This Row],[Result]]="C","n","")</f>
        <v>n</v>
      </c>
      <c r="I95" s="186"/>
    </row>
    <row r="96" spans="1:9" ht="15" customHeight="1" x14ac:dyDescent="0.25">
      <c r="A96" s="215"/>
      <c r="C96" s="33" t="s">
        <v>722</v>
      </c>
      <c r="D96" s="7" t="s">
        <v>606</v>
      </c>
      <c r="E96" s="84" t="s">
        <v>6</v>
      </c>
      <c r="F96" s="183" t="str">
        <f>IF(Table97[[#This Row],[Result]]="NC","n","")</f>
        <v/>
      </c>
      <c r="G96" s="184" t="str">
        <f>IF(Table97[[#This Row],[Result]]="pC","n","")</f>
        <v>n</v>
      </c>
      <c r="H96" s="185" t="str">
        <f>IF(Table97[[#This Row],[Result]]="C","n","")</f>
        <v/>
      </c>
      <c r="I96" s="186"/>
    </row>
    <row r="97" spans="1:9" ht="15" customHeight="1" x14ac:dyDescent="0.25">
      <c r="A97" s="215"/>
      <c r="C97" s="33" t="s">
        <v>723</v>
      </c>
      <c r="D97" s="7" t="s">
        <v>607</v>
      </c>
      <c r="E97" s="84" t="s">
        <v>5</v>
      </c>
      <c r="F97" s="183" t="str">
        <f>IF(Table97[[#This Row],[Result]]="NC","n","")</f>
        <v>n</v>
      </c>
      <c r="G97" s="184" t="str">
        <f>IF(Table97[[#This Row],[Result]]="pC","n","")</f>
        <v/>
      </c>
      <c r="H97" s="185" t="str">
        <f>IF(Table97[[#This Row],[Result]]="C","n","")</f>
        <v/>
      </c>
      <c r="I97" s="186"/>
    </row>
    <row r="98" spans="1:9" ht="15" customHeight="1" x14ac:dyDescent="0.25">
      <c r="A98" s="215"/>
      <c r="C98" s="33" t="s">
        <v>724</v>
      </c>
      <c r="D98" s="7" t="s">
        <v>608</v>
      </c>
      <c r="E98" s="84" t="s">
        <v>7</v>
      </c>
      <c r="F98" s="183" t="str">
        <f>IF(Table97[[#This Row],[Result]]="NC","n","")</f>
        <v/>
      </c>
      <c r="G98" s="184" t="str">
        <f>IF(Table97[[#This Row],[Result]]="pC","n","")</f>
        <v/>
      </c>
      <c r="H98" s="185" t="str">
        <f>IF(Table97[[#This Row],[Result]]="C","n","")</f>
        <v>n</v>
      </c>
      <c r="I98" s="186"/>
    </row>
    <row r="99" spans="1:9" ht="15" customHeight="1" x14ac:dyDescent="0.25">
      <c r="A99" s="215"/>
      <c r="C99" s="33" t="s">
        <v>725</v>
      </c>
      <c r="D99" s="7" t="s">
        <v>609</v>
      </c>
      <c r="E99" s="84" t="s">
        <v>5</v>
      </c>
      <c r="F99" s="183" t="str">
        <f>IF(Table97[[#This Row],[Result]]="NC","n","")</f>
        <v>n</v>
      </c>
      <c r="G99" s="184" t="str">
        <f>IF(Table97[[#This Row],[Result]]="pC","n","")</f>
        <v/>
      </c>
      <c r="H99" s="185" t="str">
        <f>IF(Table97[[#This Row],[Result]]="C","n","")</f>
        <v/>
      </c>
      <c r="I99" s="186"/>
    </row>
    <row r="100" spans="1:9" ht="15" customHeight="1" x14ac:dyDescent="0.25">
      <c r="A100" s="215" t="s">
        <v>627</v>
      </c>
      <c r="C100" s="33" t="s">
        <v>726</v>
      </c>
      <c r="D100" s="7" t="s">
        <v>610</v>
      </c>
      <c r="E100" s="84" t="s">
        <v>7</v>
      </c>
      <c r="F100" s="183" t="str">
        <f>IF(Table97[[#This Row],[Result]]="NC","n","")</f>
        <v/>
      </c>
      <c r="G100" s="184" t="str">
        <f>IF(Table97[[#This Row],[Result]]="pC","n","")</f>
        <v/>
      </c>
      <c r="H100" s="185" t="str">
        <f>IF(Table97[[#This Row],[Result]]="C","n","")</f>
        <v>n</v>
      </c>
      <c r="I100" s="186"/>
    </row>
    <row r="101" spans="1:9" ht="15" customHeight="1" x14ac:dyDescent="0.25">
      <c r="A101" s="215"/>
      <c r="C101" s="33" t="s">
        <v>727</v>
      </c>
      <c r="D101" s="7" t="s">
        <v>611</v>
      </c>
      <c r="E101" s="84" t="s">
        <v>6</v>
      </c>
      <c r="F101" s="183" t="str">
        <f>IF(Table97[[#This Row],[Result]]="NC","n","")</f>
        <v/>
      </c>
      <c r="G101" s="184" t="str">
        <f>IF(Table97[[#This Row],[Result]]="pC","n","")</f>
        <v>n</v>
      </c>
      <c r="H101" s="185" t="str">
        <f>IF(Table97[[#This Row],[Result]]="C","n","")</f>
        <v/>
      </c>
      <c r="I101" s="186"/>
    </row>
    <row r="102" spans="1:9" ht="15" customHeight="1" x14ac:dyDescent="0.25">
      <c r="A102" s="215"/>
      <c r="C102" s="33" t="s">
        <v>728</v>
      </c>
      <c r="D102" s="7" t="s">
        <v>612</v>
      </c>
      <c r="E102" s="67" t="s">
        <v>6</v>
      </c>
      <c r="F102" s="183" t="str">
        <f>IF(Table97[[#This Row],[Result]]="NC","n","")</f>
        <v/>
      </c>
      <c r="G102" s="184" t="str">
        <f>IF(Table97[[#This Row],[Result]]="pC","n","")</f>
        <v>n</v>
      </c>
      <c r="H102" s="185" t="str">
        <f>IF(Table97[[#This Row],[Result]]="C","n","")</f>
        <v/>
      </c>
      <c r="I102" s="186"/>
    </row>
    <row r="103" spans="1:9" ht="15" customHeight="1" x14ac:dyDescent="0.25">
      <c r="A103" s="215"/>
      <c r="C103" s="33" t="s">
        <v>729</v>
      </c>
      <c r="D103" s="7" t="s">
        <v>613</v>
      </c>
      <c r="E103" s="84" t="s">
        <v>5</v>
      </c>
      <c r="F103" s="183" t="str">
        <f>IF(Table97[[#This Row],[Result]]="NC","n","")</f>
        <v>n</v>
      </c>
      <c r="G103" s="184" t="str">
        <f>IF(Table97[[#This Row],[Result]]="pC","n","")</f>
        <v/>
      </c>
      <c r="H103" s="185" t="str">
        <f>IF(Table97[[#This Row],[Result]]="C","n","")</f>
        <v/>
      </c>
      <c r="I103" s="186"/>
    </row>
    <row r="104" spans="1:9" ht="15" customHeight="1" x14ac:dyDescent="0.25">
      <c r="A104" s="215"/>
      <c r="C104" s="33" t="s">
        <v>730</v>
      </c>
      <c r="D104" s="7" t="s">
        <v>614</v>
      </c>
      <c r="E104" s="84" t="s">
        <v>5</v>
      </c>
      <c r="F104" s="183" t="str">
        <f>IF(Table97[[#This Row],[Result]]="NC","n","")</f>
        <v>n</v>
      </c>
      <c r="G104" s="184" t="str">
        <f>IF(Table97[[#This Row],[Result]]="pC","n","")</f>
        <v/>
      </c>
      <c r="H104" s="185" t="str">
        <f>IF(Table97[[#This Row],[Result]]="C","n","")</f>
        <v/>
      </c>
      <c r="I104" s="186"/>
    </row>
    <row r="105" spans="1:9" ht="15" customHeight="1" x14ac:dyDescent="0.25">
      <c r="A105" s="215"/>
      <c r="C105" s="33" t="s">
        <v>731</v>
      </c>
      <c r="D105" s="7" t="s">
        <v>615</v>
      </c>
      <c r="E105" s="84" t="s">
        <v>6</v>
      </c>
      <c r="F105" s="183" t="str">
        <f>IF(Table97[[#This Row],[Result]]="NC","n","")</f>
        <v/>
      </c>
      <c r="G105" s="184" t="str">
        <f>IF(Table97[[#This Row],[Result]]="pC","n","")</f>
        <v>n</v>
      </c>
      <c r="H105" s="185" t="str">
        <f>IF(Table97[[#This Row],[Result]]="C","n","")</f>
        <v/>
      </c>
      <c r="I105" s="186"/>
    </row>
    <row r="106" spans="1:9" ht="15" customHeight="1" x14ac:dyDescent="0.25">
      <c r="A106" s="215"/>
      <c r="C106" s="33" t="s">
        <v>732</v>
      </c>
      <c r="D106" s="7" t="s">
        <v>616</v>
      </c>
      <c r="E106" s="84" t="s">
        <v>7</v>
      </c>
      <c r="F106" s="183" t="str">
        <f>IF(Table97[[#This Row],[Result]]="NC","n","")</f>
        <v/>
      </c>
      <c r="G106" s="184" t="str">
        <f>IF(Table97[[#This Row],[Result]]="pC","n","")</f>
        <v/>
      </c>
      <c r="H106" s="185" t="str">
        <f>IF(Table97[[#This Row],[Result]]="C","n","")</f>
        <v>n</v>
      </c>
      <c r="I106" s="186"/>
    </row>
    <row r="107" spans="1:9" ht="15" customHeight="1" x14ac:dyDescent="0.25">
      <c r="A107" s="215"/>
      <c r="C107" s="33" t="s">
        <v>733</v>
      </c>
      <c r="D107" s="7" t="s">
        <v>617</v>
      </c>
      <c r="E107" s="182" t="s">
        <v>7</v>
      </c>
      <c r="F107" s="183" t="str">
        <f>IF(Table97[[#This Row],[Result]]="NC","n","")</f>
        <v/>
      </c>
      <c r="G107" s="184" t="str">
        <f>IF(Table97[[#This Row],[Result]]="pC","n","")</f>
        <v/>
      </c>
      <c r="H107" s="185" t="str">
        <f>IF(Table97[[#This Row],[Result]]="C","n","")</f>
        <v>n</v>
      </c>
      <c r="I107" s="186"/>
    </row>
    <row r="108" spans="1:9" ht="15.75" thickBot="1" x14ac:dyDescent="0.3">
      <c r="D108" s="218" t="s">
        <v>257</v>
      </c>
      <c r="E108" s="218"/>
      <c r="F108" s="102">
        <f>COUNTIF(Table97[NC],"n")</f>
        <v>27</v>
      </c>
      <c r="G108" s="103">
        <f>COUNTIF(Table97[PC],"n")</f>
        <v>31</v>
      </c>
      <c r="H108" s="104">
        <f>COUNTIF(Table97[C],"n")</f>
        <v>44</v>
      </c>
    </row>
    <row r="109" spans="1:9" ht="16.5" thickTop="1" thickBot="1" x14ac:dyDescent="0.3">
      <c r="D109" s="218" t="s">
        <v>258</v>
      </c>
      <c r="E109" s="218"/>
      <c r="F109" s="105">
        <f>F108*0</f>
        <v>0</v>
      </c>
      <c r="G109" s="106">
        <f>G108*1</f>
        <v>31</v>
      </c>
      <c r="H109" s="107">
        <f>H108*3</f>
        <v>132</v>
      </c>
    </row>
    <row r="110" spans="1:9" x14ac:dyDescent="0.25">
      <c r="D110" s="218" t="s">
        <v>1</v>
      </c>
      <c r="E110" s="218"/>
      <c r="F110" s="101">
        <f>SUM(F109:H109)</f>
        <v>163</v>
      </c>
      <c r="G110" s="108" t="s">
        <v>628</v>
      </c>
      <c r="H110" s="101"/>
    </row>
  </sheetData>
  <sheetProtection algorithmName="SHA-512" hashValue="FTWzpUmCpg7BWugiJmuEEmBJKvFZqqdh+bL+Z2sBfpR7Q0e95mzGFxBYvqlKBamRWAWlAakrbBiCYhIhvZ0bKA==" saltValue="SdCkcQ/7GvkB03mkl63d1A==" spinCount="100000" sheet="1" objects="1" scenarios="1" selectLockedCells="1"/>
  <mergeCells count="14">
    <mergeCell ref="D2:H3"/>
    <mergeCell ref="D108:E108"/>
    <mergeCell ref="D109:E109"/>
    <mergeCell ref="A100:A107"/>
    <mergeCell ref="D110:E110"/>
    <mergeCell ref="A6:A16"/>
    <mergeCell ref="A17:A33"/>
    <mergeCell ref="A34:A42"/>
    <mergeCell ref="A43:A57"/>
    <mergeCell ref="A58:A64"/>
    <mergeCell ref="A65:A70"/>
    <mergeCell ref="A71:A78"/>
    <mergeCell ref="A79:A94"/>
    <mergeCell ref="A95:A99"/>
  </mergeCells>
  <dataValidations count="1">
    <dataValidation type="list" allowBlank="1" showInputMessage="1" showErrorMessage="1" prompt="Please enter either NC for a Non Conformance, PC for a Partial Conformance or C for a Conformance" sqref="E6:E107">
      <formula1>Result</formula1>
    </dataValidation>
  </dataValidations>
  <pageMargins left="0.7" right="0.7" top="0.75" bottom="0.75" header="0.3" footer="0.3"/>
  <drawing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16"/>
  <sheetViews>
    <sheetView showGridLines="0" zoomScaleNormal="100" workbookViewId="0">
      <selection activeCell="E12" sqref="E12"/>
    </sheetView>
  </sheetViews>
  <sheetFormatPr defaultRowHeight="15" x14ac:dyDescent="0.25"/>
  <cols>
    <col min="1" max="1" width="7.7109375" style="13" customWidth="1"/>
    <col min="2" max="2" width="1.7109375" customWidth="1"/>
    <col min="3" max="3" width="6.7109375" customWidth="1"/>
    <col min="4" max="4" width="100.7109375" style="1" customWidth="1"/>
    <col min="5" max="8" width="7.7109375" customWidth="1"/>
    <col min="9" max="9" width="100.7109375" customWidth="1"/>
  </cols>
  <sheetData>
    <row r="2" spans="1:9" x14ac:dyDescent="0.25">
      <c r="D2" s="206" t="s">
        <v>734</v>
      </c>
      <c r="E2" s="206"/>
      <c r="F2" s="206"/>
      <c r="G2" s="206"/>
      <c r="H2" s="206"/>
    </row>
    <row r="3" spans="1:9" x14ac:dyDescent="0.25">
      <c r="D3" s="206"/>
      <c r="E3" s="206"/>
      <c r="F3" s="206"/>
      <c r="G3" s="206"/>
      <c r="H3" s="206"/>
    </row>
    <row r="5" spans="1:9" ht="30" customHeight="1" x14ac:dyDescent="0.25">
      <c r="C5" s="15" t="s">
        <v>0</v>
      </c>
      <c r="D5" s="134" t="s">
        <v>4</v>
      </c>
      <c r="E5" s="16" t="s">
        <v>332</v>
      </c>
      <c r="F5" s="87" t="s">
        <v>5</v>
      </c>
      <c r="G5" s="9" t="s">
        <v>6</v>
      </c>
      <c r="H5" s="88" t="s">
        <v>7</v>
      </c>
      <c r="I5" s="95" t="s">
        <v>56</v>
      </c>
    </row>
    <row r="6" spans="1:9" ht="15" customHeight="1" x14ac:dyDescent="0.25">
      <c r="A6" s="215" t="s">
        <v>618</v>
      </c>
      <c r="C6" s="33" t="s">
        <v>766</v>
      </c>
      <c r="D6" s="146" t="s">
        <v>518</v>
      </c>
      <c r="E6" s="84" t="s">
        <v>6</v>
      </c>
      <c r="F6" s="183" t="str">
        <f>IF(Table9712[[#This Row],[Result]]="NC","n","")</f>
        <v/>
      </c>
      <c r="G6" s="184" t="str">
        <f>IF(Table9712[[#This Row],[Result]]="pC","n","")</f>
        <v>n</v>
      </c>
      <c r="H6" s="185" t="str">
        <f>IF(Table9712[[#This Row],[Result]]="C","n","")</f>
        <v/>
      </c>
      <c r="I6" s="186"/>
    </row>
    <row r="7" spans="1:9" ht="15" customHeight="1" x14ac:dyDescent="0.25">
      <c r="A7" s="215"/>
      <c r="C7" s="33" t="s">
        <v>767</v>
      </c>
      <c r="D7" s="146" t="s">
        <v>519</v>
      </c>
      <c r="E7" s="84" t="s">
        <v>7</v>
      </c>
      <c r="F7" s="183" t="str">
        <f>IF(Table9712[[#This Row],[Result]]="NC","n","")</f>
        <v/>
      </c>
      <c r="G7" s="184" t="str">
        <f>IF(Table9712[[#This Row],[Result]]="pC","n","")</f>
        <v/>
      </c>
      <c r="H7" s="185" t="str">
        <f>IF(Table9712[[#This Row],[Result]]="C","n","")</f>
        <v>n</v>
      </c>
      <c r="I7" s="186"/>
    </row>
    <row r="8" spans="1:9" ht="15" customHeight="1" x14ac:dyDescent="0.25">
      <c r="A8" s="215"/>
      <c r="C8" s="33" t="s">
        <v>768</v>
      </c>
      <c r="D8" s="146" t="s">
        <v>520</v>
      </c>
      <c r="E8" s="84" t="s">
        <v>7</v>
      </c>
      <c r="F8" s="183" t="str">
        <f>IF(Table9712[[#This Row],[Result]]="NC","n","")</f>
        <v/>
      </c>
      <c r="G8" s="184" t="str">
        <f>IF(Table9712[[#This Row],[Result]]="pC","n","")</f>
        <v/>
      </c>
      <c r="H8" s="185" t="str">
        <f>IF(Table9712[[#This Row],[Result]]="C","n","")</f>
        <v>n</v>
      </c>
      <c r="I8" s="186"/>
    </row>
    <row r="9" spans="1:9" ht="15" customHeight="1" x14ac:dyDescent="0.25">
      <c r="A9" s="215"/>
      <c r="C9" s="33" t="s">
        <v>769</v>
      </c>
      <c r="D9" s="146" t="s">
        <v>521</v>
      </c>
      <c r="E9" s="84" t="s">
        <v>7</v>
      </c>
      <c r="F9" s="183" t="str">
        <f>IF(Table9712[[#This Row],[Result]]="NC","n","")</f>
        <v/>
      </c>
      <c r="G9" s="184" t="str">
        <f>IF(Table9712[[#This Row],[Result]]="pC","n","")</f>
        <v/>
      </c>
      <c r="H9" s="185" t="str">
        <f>IF(Table9712[[#This Row],[Result]]="C","n","")</f>
        <v>n</v>
      </c>
      <c r="I9" s="186"/>
    </row>
    <row r="10" spans="1:9" ht="15" customHeight="1" x14ac:dyDescent="0.25">
      <c r="A10" s="215"/>
      <c r="C10" s="33" t="s">
        <v>770</v>
      </c>
      <c r="D10" s="146" t="s">
        <v>522</v>
      </c>
      <c r="E10" s="84" t="s">
        <v>6</v>
      </c>
      <c r="F10" s="183" t="str">
        <f>IF(Table9712[[#This Row],[Result]]="NC","n","")</f>
        <v/>
      </c>
      <c r="G10" s="184" t="str">
        <f>IF(Table9712[[#This Row],[Result]]="pC","n","")</f>
        <v>n</v>
      </c>
      <c r="H10" s="185" t="str">
        <f>IF(Table9712[[#This Row],[Result]]="C","n","")</f>
        <v/>
      </c>
      <c r="I10" s="186"/>
    </row>
    <row r="11" spans="1:9" ht="15" customHeight="1" x14ac:dyDescent="0.25">
      <c r="A11" s="215"/>
      <c r="C11" s="33" t="s">
        <v>771</v>
      </c>
      <c r="D11" s="146" t="s">
        <v>523</v>
      </c>
      <c r="E11" s="84" t="s">
        <v>5</v>
      </c>
      <c r="F11" s="183" t="str">
        <f>IF(Table9712[[#This Row],[Result]]="NC","n","")</f>
        <v>n</v>
      </c>
      <c r="G11" s="184" t="str">
        <f>IF(Table9712[[#This Row],[Result]]="pC","n","")</f>
        <v/>
      </c>
      <c r="H11" s="185" t="str">
        <f>IF(Table9712[[#This Row],[Result]]="C","n","")</f>
        <v/>
      </c>
      <c r="I11" s="186"/>
    </row>
    <row r="12" spans="1:9" ht="15" customHeight="1" x14ac:dyDescent="0.25">
      <c r="A12" s="215"/>
      <c r="C12" s="33" t="s">
        <v>772</v>
      </c>
      <c r="D12" s="146" t="s">
        <v>524</v>
      </c>
      <c r="E12" s="84" t="s">
        <v>7</v>
      </c>
      <c r="F12" s="183" t="str">
        <f>IF(Table9712[[#This Row],[Result]]="NC","n","")</f>
        <v/>
      </c>
      <c r="G12" s="184" t="str">
        <f>IF(Table9712[[#This Row],[Result]]="pC","n","")</f>
        <v/>
      </c>
      <c r="H12" s="185" t="str">
        <f>IF(Table9712[[#This Row],[Result]]="C","n","")</f>
        <v>n</v>
      </c>
      <c r="I12" s="186"/>
    </row>
    <row r="13" spans="1:9" ht="15" customHeight="1" x14ac:dyDescent="0.25">
      <c r="A13" s="215"/>
      <c r="C13" s="33" t="s">
        <v>773</v>
      </c>
      <c r="D13" s="146" t="s">
        <v>526</v>
      </c>
      <c r="E13" s="84" t="s">
        <v>6</v>
      </c>
      <c r="F13" s="183" t="str">
        <f>IF(Table9712[[#This Row],[Result]]="NC","n","")</f>
        <v/>
      </c>
      <c r="G13" s="184" t="str">
        <f>IF(Table9712[[#This Row],[Result]]="pC","n","")</f>
        <v>n</v>
      </c>
      <c r="H13" s="185" t="str">
        <f>IF(Table9712[[#This Row],[Result]]="C","n","")</f>
        <v/>
      </c>
      <c r="I13" s="186"/>
    </row>
    <row r="14" spans="1:9" ht="15" customHeight="1" x14ac:dyDescent="0.25">
      <c r="A14" s="215"/>
      <c r="C14" s="33" t="s">
        <v>774</v>
      </c>
      <c r="D14" s="146" t="s">
        <v>527</v>
      </c>
      <c r="E14" s="84" t="s">
        <v>7</v>
      </c>
      <c r="F14" s="183" t="str">
        <f>IF(Table9712[[#This Row],[Result]]="NC","n","")</f>
        <v/>
      </c>
      <c r="G14" s="184" t="str">
        <f>IF(Table9712[[#This Row],[Result]]="pC","n","")</f>
        <v/>
      </c>
      <c r="H14" s="185" t="str">
        <f>IF(Table9712[[#This Row],[Result]]="C","n","")</f>
        <v>n</v>
      </c>
      <c r="I14" s="186"/>
    </row>
    <row r="15" spans="1:9" ht="15" customHeight="1" x14ac:dyDescent="0.25">
      <c r="A15" s="215"/>
      <c r="C15" s="33" t="s">
        <v>775</v>
      </c>
      <c r="D15" s="146" t="s">
        <v>528</v>
      </c>
      <c r="E15" s="84" t="s">
        <v>7</v>
      </c>
      <c r="F15" s="183" t="str">
        <f>IF(Table9712[[#This Row],[Result]]="NC","n","")</f>
        <v/>
      </c>
      <c r="G15" s="184" t="str">
        <f>IF(Table9712[[#This Row],[Result]]="pC","n","")</f>
        <v/>
      </c>
      <c r="H15" s="185" t="str">
        <f>IF(Table9712[[#This Row],[Result]]="C","n","")</f>
        <v>n</v>
      </c>
      <c r="I15" s="186"/>
    </row>
    <row r="16" spans="1:9" ht="15" customHeight="1" x14ac:dyDescent="0.25">
      <c r="A16" s="215" t="s">
        <v>619</v>
      </c>
      <c r="C16" s="33" t="s">
        <v>776</v>
      </c>
      <c r="D16" s="146" t="s">
        <v>529</v>
      </c>
      <c r="E16" s="84" t="s">
        <v>7</v>
      </c>
      <c r="F16" s="183" t="str">
        <f>IF(Table9712[[#This Row],[Result]]="NC","n","")</f>
        <v/>
      </c>
      <c r="G16" s="184" t="str">
        <f>IF(Table9712[[#This Row],[Result]]="pC","n","")</f>
        <v/>
      </c>
      <c r="H16" s="185" t="str">
        <f>IF(Table9712[[#This Row],[Result]]="C","n","")</f>
        <v>n</v>
      </c>
      <c r="I16" s="186"/>
    </row>
    <row r="17" spans="1:9" ht="15" customHeight="1" x14ac:dyDescent="0.25">
      <c r="A17" s="215"/>
      <c r="C17" s="33" t="s">
        <v>777</v>
      </c>
      <c r="D17" s="146" t="s">
        <v>530</v>
      </c>
      <c r="E17" s="84" t="s">
        <v>6</v>
      </c>
      <c r="F17" s="183" t="str">
        <f>IF(Table9712[[#This Row],[Result]]="NC","n","")</f>
        <v/>
      </c>
      <c r="G17" s="184" t="str">
        <f>IF(Table9712[[#This Row],[Result]]="pC","n","")</f>
        <v>n</v>
      </c>
      <c r="H17" s="185" t="str">
        <f>IF(Table9712[[#This Row],[Result]]="C","n","")</f>
        <v/>
      </c>
      <c r="I17" s="186"/>
    </row>
    <row r="18" spans="1:9" ht="15" customHeight="1" x14ac:dyDescent="0.25">
      <c r="A18" s="215"/>
      <c r="C18" s="33" t="s">
        <v>778</v>
      </c>
      <c r="D18" s="146" t="s">
        <v>531</v>
      </c>
      <c r="E18" s="84" t="s">
        <v>5</v>
      </c>
      <c r="F18" s="183" t="str">
        <f>IF(Table9712[[#This Row],[Result]]="NC","n","")</f>
        <v>n</v>
      </c>
      <c r="G18" s="184" t="str">
        <f>IF(Table9712[[#This Row],[Result]]="pC","n","")</f>
        <v/>
      </c>
      <c r="H18" s="185" t="str">
        <f>IF(Table9712[[#This Row],[Result]]="C","n","")</f>
        <v/>
      </c>
      <c r="I18" s="186"/>
    </row>
    <row r="19" spans="1:9" ht="15" customHeight="1" x14ac:dyDescent="0.25">
      <c r="A19" s="215"/>
      <c r="C19" s="33" t="s">
        <v>779</v>
      </c>
      <c r="D19" s="146" t="s">
        <v>532</v>
      </c>
      <c r="E19" s="84" t="s">
        <v>7</v>
      </c>
      <c r="F19" s="183" t="str">
        <f>IF(Table9712[[#This Row],[Result]]="NC","n","")</f>
        <v/>
      </c>
      <c r="G19" s="184" t="str">
        <f>IF(Table9712[[#This Row],[Result]]="pC","n","")</f>
        <v/>
      </c>
      <c r="H19" s="185" t="str">
        <f>IF(Table9712[[#This Row],[Result]]="C","n","")</f>
        <v>n</v>
      </c>
      <c r="I19" s="186"/>
    </row>
    <row r="20" spans="1:9" ht="15" customHeight="1" x14ac:dyDescent="0.25">
      <c r="A20" s="215"/>
      <c r="C20" s="33" t="s">
        <v>780</v>
      </c>
      <c r="D20" s="146" t="s">
        <v>533</v>
      </c>
      <c r="E20" s="84" t="s">
        <v>5</v>
      </c>
      <c r="F20" s="183" t="str">
        <f>IF(Table9712[[#This Row],[Result]]="NC","n","")</f>
        <v>n</v>
      </c>
      <c r="G20" s="184" t="str">
        <f>IF(Table9712[[#This Row],[Result]]="pC","n","")</f>
        <v/>
      </c>
      <c r="H20" s="185" t="str">
        <f>IF(Table9712[[#This Row],[Result]]="C","n","")</f>
        <v/>
      </c>
      <c r="I20" s="186"/>
    </row>
    <row r="21" spans="1:9" ht="15" customHeight="1" x14ac:dyDescent="0.25">
      <c r="A21" s="215"/>
      <c r="C21" s="33" t="s">
        <v>781</v>
      </c>
      <c r="D21" s="146" t="s">
        <v>534</v>
      </c>
      <c r="E21" s="84" t="s">
        <v>7</v>
      </c>
      <c r="F21" s="183" t="str">
        <f>IF(Table9712[[#This Row],[Result]]="NC","n","")</f>
        <v/>
      </c>
      <c r="G21" s="184" t="str">
        <f>IF(Table9712[[#This Row],[Result]]="pC","n","")</f>
        <v/>
      </c>
      <c r="H21" s="185" t="str">
        <f>IF(Table9712[[#This Row],[Result]]="C","n","")</f>
        <v>n</v>
      </c>
      <c r="I21" s="186"/>
    </row>
    <row r="22" spans="1:9" ht="15" customHeight="1" x14ac:dyDescent="0.25">
      <c r="A22" s="215"/>
      <c r="C22" s="33" t="s">
        <v>782</v>
      </c>
      <c r="D22" s="146" t="s">
        <v>535</v>
      </c>
      <c r="E22" s="84" t="s">
        <v>6</v>
      </c>
      <c r="F22" s="183" t="str">
        <f>IF(Table9712[[#This Row],[Result]]="NC","n","")</f>
        <v/>
      </c>
      <c r="G22" s="184" t="str">
        <f>IF(Table9712[[#This Row],[Result]]="pC","n","")</f>
        <v>n</v>
      </c>
      <c r="H22" s="185" t="str">
        <f>IF(Table9712[[#This Row],[Result]]="C","n","")</f>
        <v/>
      </c>
      <c r="I22" s="186"/>
    </row>
    <row r="23" spans="1:9" ht="15" customHeight="1" x14ac:dyDescent="0.25">
      <c r="A23" s="215"/>
      <c r="C23" s="33" t="s">
        <v>783</v>
      </c>
      <c r="D23" s="146" t="s">
        <v>536</v>
      </c>
      <c r="E23" s="67" t="s">
        <v>6</v>
      </c>
      <c r="F23" s="183" t="str">
        <f>IF(Table9712[[#This Row],[Result]]="NC","n","")</f>
        <v/>
      </c>
      <c r="G23" s="184" t="str">
        <f>IF(Table9712[[#This Row],[Result]]="pC","n","")</f>
        <v>n</v>
      </c>
      <c r="H23" s="185" t="str">
        <f>IF(Table9712[[#This Row],[Result]]="C","n","")</f>
        <v/>
      </c>
      <c r="I23" s="186"/>
    </row>
    <row r="24" spans="1:9" ht="15" customHeight="1" x14ac:dyDescent="0.25">
      <c r="A24" s="215"/>
      <c r="C24" s="33" t="s">
        <v>784</v>
      </c>
      <c r="D24" s="146" t="s">
        <v>537</v>
      </c>
      <c r="E24" s="84" t="s">
        <v>5</v>
      </c>
      <c r="F24" s="183" t="str">
        <f>IF(Table9712[[#This Row],[Result]]="NC","n","")</f>
        <v>n</v>
      </c>
      <c r="G24" s="184" t="str">
        <f>IF(Table9712[[#This Row],[Result]]="pC","n","")</f>
        <v/>
      </c>
      <c r="H24" s="185" t="str">
        <f>IF(Table9712[[#This Row],[Result]]="C","n","")</f>
        <v/>
      </c>
      <c r="I24" s="186"/>
    </row>
    <row r="25" spans="1:9" ht="15" customHeight="1" x14ac:dyDescent="0.25">
      <c r="A25" s="215"/>
      <c r="C25" s="33" t="s">
        <v>785</v>
      </c>
      <c r="D25" s="146" t="s">
        <v>538</v>
      </c>
      <c r="E25" s="84" t="s">
        <v>6</v>
      </c>
      <c r="F25" s="183" t="str">
        <f>IF(Table9712[[#This Row],[Result]]="NC","n","")</f>
        <v/>
      </c>
      <c r="G25" s="184" t="str">
        <f>IF(Table9712[[#This Row],[Result]]="pC","n","")</f>
        <v>n</v>
      </c>
      <c r="H25" s="185" t="str">
        <f>IF(Table9712[[#This Row],[Result]]="C","n","")</f>
        <v/>
      </c>
      <c r="I25" s="186"/>
    </row>
    <row r="26" spans="1:9" ht="15" customHeight="1" x14ac:dyDescent="0.25">
      <c r="A26" s="215"/>
      <c r="C26" s="33" t="s">
        <v>786</v>
      </c>
      <c r="D26" s="146" t="s">
        <v>539</v>
      </c>
      <c r="E26" s="84" t="s">
        <v>7</v>
      </c>
      <c r="F26" s="183" t="str">
        <f>IF(Table9712[[#This Row],[Result]]="NC","n","")</f>
        <v/>
      </c>
      <c r="G26" s="184" t="str">
        <f>IF(Table9712[[#This Row],[Result]]="pC","n","")</f>
        <v/>
      </c>
      <c r="H26" s="185" t="str">
        <f>IF(Table9712[[#This Row],[Result]]="C","n","")</f>
        <v>n</v>
      </c>
      <c r="I26" s="186"/>
    </row>
    <row r="27" spans="1:9" ht="15" customHeight="1" x14ac:dyDescent="0.25">
      <c r="A27" s="215"/>
      <c r="C27" s="33" t="s">
        <v>787</v>
      </c>
      <c r="D27" s="146" t="s">
        <v>540</v>
      </c>
      <c r="E27" s="84" t="s">
        <v>7</v>
      </c>
      <c r="F27" s="183" t="str">
        <f>IF(Table9712[[#This Row],[Result]]="NC","n","")</f>
        <v/>
      </c>
      <c r="G27" s="184" t="str">
        <f>IF(Table9712[[#This Row],[Result]]="pC","n","")</f>
        <v/>
      </c>
      <c r="H27" s="185" t="str">
        <f>IF(Table9712[[#This Row],[Result]]="C","n","")</f>
        <v>n</v>
      </c>
      <c r="I27" s="186"/>
    </row>
    <row r="28" spans="1:9" ht="15" customHeight="1" x14ac:dyDescent="0.25">
      <c r="A28" s="215"/>
      <c r="C28" s="33" t="s">
        <v>788</v>
      </c>
      <c r="D28" s="146" t="s">
        <v>541</v>
      </c>
      <c r="E28" s="84" t="s">
        <v>7</v>
      </c>
      <c r="F28" s="183" t="str">
        <f>IF(Table9712[[#This Row],[Result]]="NC","n","")</f>
        <v/>
      </c>
      <c r="G28" s="184" t="str">
        <f>IF(Table9712[[#This Row],[Result]]="pC","n","")</f>
        <v/>
      </c>
      <c r="H28" s="185" t="str">
        <f>IF(Table9712[[#This Row],[Result]]="C","n","")</f>
        <v>n</v>
      </c>
      <c r="I28" s="186"/>
    </row>
    <row r="29" spans="1:9" ht="15" customHeight="1" x14ac:dyDescent="0.25">
      <c r="A29" s="215"/>
      <c r="C29" s="33" t="s">
        <v>789</v>
      </c>
      <c r="D29" s="146" t="s">
        <v>542</v>
      </c>
      <c r="E29" s="84" t="s">
        <v>6</v>
      </c>
      <c r="F29" s="183" t="str">
        <f>IF(Table9712[[#This Row],[Result]]="NC","n","")</f>
        <v/>
      </c>
      <c r="G29" s="184" t="str">
        <f>IF(Table9712[[#This Row],[Result]]="pC","n","")</f>
        <v>n</v>
      </c>
      <c r="H29" s="185" t="str">
        <f>IF(Table9712[[#This Row],[Result]]="C","n","")</f>
        <v/>
      </c>
      <c r="I29" s="186"/>
    </row>
    <row r="30" spans="1:9" ht="15" customHeight="1" x14ac:dyDescent="0.25">
      <c r="A30" s="215"/>
      <c r="C30" s="33" t="s">
        <v>790</v>
      </c>
      <c r="D30" s="146" t="s">
        <v>543</v>
      </c>
      <c r="E30" s="84" t="s">
        <v>5</v>
      </c>
      <c r="F30" s="183" t="str">
        <f>IF(Table9712[[#This Row],[Result]]="NC","n","")</f>
        <v>n</v>
      </c>
      <c r="G30" s="184" t="str">
        <f>IF(Table9712[[#This Row],[Result]]="pC","n","")</f>
        <v/>
      </c>
      <c r="H30" s="185" t="str">
        <f>IF(Table9712[[#This Row],[Result]]="C","n","")</f>
        <v/>
      </c>
      <c r="I30" s="186"/>
    </row>
    <row r="31" spans="1:9" ht="15" customHeight="1" x14ac:dyDescent="0.25">
      <c r="A31" s="215"/>
      <c r="C31" s="33" t="s">
        <v>791</v>
      </c>
      <c r="D31" s="146" t="s">
        <v>544</v>
      </c>
      <c r="E31" s="84" t="s">
        <v>7</v>
      </c>
      <c r="F31" s="183" t="str">
        <f>IF(Table9712[[#This Row],[Result]]="NC","n","")</f>
        <v/>
      </c>
      <c r="G31" s="184" t="str">
        <f>IF(Table9712[[#This Row],[Result]]="pC","n","")</f>
        <v/>
      </c>
      <c r="H31" s="185" t="str">
        <f>IF(Table9712[[#This Row],[Result]]="C","n","")</f>
        <v>n</v>
      </c>
      <c r="I31" s="186"/>
    </row>
    <row r="32" spans="1:9" ht="15" customHeight="1" x14ac:dyDescent="0.25">
      <c r="A32" s="215"/>
      <c r="C32" s="33" t="s">
        <v>792</v>
      </c>
      <c r="D32" s="146" t="s">
        <v>545</v>
      </c>
      <c r="E32" s="84" t="s">
        <v>5</v>
      </c>
      <c r="F32" s="183" t="str">
        <f>IF(Table9712[[#This Row],[Result]]="NC","n","")</f>
        <v>n</v>
      </c>
      <c r="G32" s="184" t="str">
        <f>IF(Table9712[[#This Row],[Result]]="pC","n","")</f>
        <v/>
      </c>
      <c r="H32" s="185" t="str">
        <f>IF(Table9712[[#This Row],[Result]]="C","n","")</f>
        <v/>
      </c>
      <c r="I32" s="186"/>
    </row>
    <row r="33" spans="1:9" ht="15" customHeight="1" x14ac:dyDescent="0.25">
      <c r="A33" s="215" t="s">
        <v>620</v>
      </c>
      <c r="C33" s="33" t="s">
        <v>793</v>
      </c>
      <c r="D33" s="146" t="s">
        <v>546</v>
      </c>
      <c r="E33" s="84" t="s">
        <v>6</v>
      </c>
      <c r="F33" s="183" t="str">
        <f>IF(Table9712[[#This Row],[Result]]="NC","n","")</f>
        <v/>
      </c>
      <c r="G33" s="184" t="str">
        <f>IF(Table9712[[#This Row],[Result]]="pC","n","")</f>
        <v>n</v>
      </c>
      <c r="H33" s="185" t="str">
        <f>IF(Table9712[[#This Row],[Result]]="C","n","")</f>
        <v/>
      </c>
      <c r="I33" s="186"/>
    </row>
    <row r="34" spans="1:9" ht="15" customHeight="1" x14ac:dyDescent="0.25">
      <c r="A34" s="215"/>
      <c r="C34" s="33" t="s">
        <v>794</v>
      </c>
      <c r="D34" s="146" t="s">
        <v>547</v>
      </c>
      <c r="E34" s="84" t="s">
        <v>7</v>
      </c>
      <c r="F34" s="183" t="str">
        <f>IF(Table9712[[#This Row],[Result]]="NC","n","")</f>
        <v/>
      </c>
      <c r="G34" s="184" t="str">
        <f>IF(Table9712[[#This Row],[Result]]="pC","n","")</f>
        <v/>
      </c>
      <c r="H34" s="185" t="str">
        <f>IF(Table9712[[#This Row],[Result]]="C","n","")</f>
        <v>n</v>
      </c>
      <c r="I34" s="186"/>
    </row>
    <row r="35" spans="1:9" ht="15" customHeight="1" x14ac:dyDescent="0.25">
      <c r="A35" s="215"/>
      <c r="C35" s="33" t="s">
        <v>795</v>
      </c>
      <c r="D35" s="146" t="s">
        <v>548</v>
      </c>
      <c r="E35" s="84" t="s">
        <v>7</v>
      </c>
      <c r="F35" s="183" t="str">
        <f>IF(Table9712[[#This Row],[Result]]="NC","n","")</f>
        <v/>
      </c>
      <c r="G35" s="184" t="str">
        <f>IF(Table9712[[#This Row],[Result]]="pC","n","")</f>
        <v/>
      </c>
      <c r="H35" s="185" t="str">
        <f>IF(Table9712[[#This Row],[Result]]="C","n","")</f>
        <v>n</v>
      </c>
      <c r="I35" s="186"/>
    </row>
    <row r="36" spans="1:9" ht="15" customHeight="1" x14ac:dyDescent="0.25">
      <c r="A36" s="215"/>
      <c r="C36" s="33" t="s">
        <v>796</v>
      </c>
      <c r="D36" s="146" t="s">
        <v>549</v>
      </c>
      <c r="E36" s="84" t="s">
        <v>7</v>
      </c>
      <c r="F36" s="183" t="str">
        <f>IF(Table9712[[#This Row],[Result]]="NC","n","")</f>
        <v/>
      </c>
      <c r="G36" s="184" t="str">
        <f>IF(Table9712[[#This Row],[Result]]="pC","n","")</f>
        <v/>
      </c>
      <c r="H36" s="185" t="str">
        <f>IF(Table9712[[#This Row],[Result]]="C","n","")</f>
        <v>n</v>
      </c>
      <c r="I36" s="186"/>
    </row>
    <row r="37" spans="1:9" ht="15" customHeight="1" x14ac:dyDescent="0.25">
      <c r="A37" s="215"/>
      <c r="C37" s="33" t="s">
        <v>797</v>
      </c>
      <c r="D37" s="146" t="s">
        <v>550</v>
      </c>
      <c r="E37" s="84" t="s">
        <v>6</v>
      </c>
      <c r="F37" s="183" t="str">
        <f>IF(Table9712[[#This Row],[Result]]="NC","n","")</f>
        <v/>
      </c>
      <c r="G37" s="184" t="str">
        <f>IF(Table9712[[#This Row],[Result]]="pC","n","")</f>
        <v>n</v>
      </c>
      <c r="H37" s="185" t="str">
        <f>IF(Table9712[[#This Row],[Result]]="C","n","")</f>
        <v/>
      </c>
      <c r="I37" s="186"/>
    </row>
    <row r="38" spans="1:9" ht="15" customHeight="1" x14ac:dyDescent="0.25">
      <c r="A38" s="215"/>
      <c r="C38" s="33" t="s">
        <v>798</v>
      </c>
      <c r="D38" s="146" t="s">
        <v>735</v>
      </c>
      <c r="E38" s="84" t="s">
        <v>5</v>
      </c>
      <c r="F38" s="183" t="str">
        <f>IF(Table9712[[#This Row],[Result]]="NC","n","")</f>
        <v>n</v>
      </c>
      <c r="G38" s="184" t="str">
        <f>IF(Table9712[[#This Row],[Result]]="pC","n","")</f>
        <v/>
      </c>
      <c r="H38" s="185" t="str">
        <f>IF(Table9712[[#This Row],[Result]]="C","n","")</f>
        <v/>
      </c>
      <c r="I38" s="186"/>
    </row>
    <row r="39" spans="1:9" ht="15" customHeight="1" x14ac:dyDescent="0.25">
      <c r="A39" s="215"/>
      <c r="C39" s="33" t="s">
        <v>799</v>
      </c>
      <c r="D39" s="146" t="s">
        <v>736</v>
      </c>
      <c r="E39" s="84" t="s">
        <v>7</v>
      </c>
      <c r="F39" s="183" t="str">
        <f>IF(Table9712[[#This Row],[Result]]="NC","n","")</f>
        <v/>
      </c>
      <c r="G39" s="184" t="str">
        <f>IF(Table9712[[#This Row],[Result]]="pC","n","")</f>
        <v/>
      </c>
      <c r="H39" s="185" t="str">
        <f>IF(Table9712[[#This Row],[Result]]="C","n","")</f>
        <v>n</v>
      </c>
      <c r="I39" s="186"/>
    </row>
    <row r="40" spans="1:9" ht="15" customHeight="1" x14ac:dyDescent="0.25">
      <c r="A40" s="215" t="s">
        <v>621</v>
      </c>
      <c r="C40" s="33" t="s">
        <v>800</v>
      </c>
      <c r="D40" s="146" t="s">
        <v>555</v>
      </c>
      <c r="E40" s="84" t="s">
        <v>5</v>
      </c>
      <c r="F40" s="183" t="str">
        <f>IF(Table9712[[#This Row],[Result]]="NC","n","")</f>
        <v>n</v>
      </c>
      <c r="G40" s="184" t="str">
        <f>IF(Table9712[[#This Row],[Result]]="pC","n","")</f>
        <v/>
      </c>
      <c r="H40" s="185" t="str">
        <f>IF(Table9712[[#This Row],[Result]]="C","n","")</f>
        <v/>
      </c>
      <c r="I40" s="186"/>
    </row>
    <row r="41" spans="1:9" ht="15" customHeight="1" x14ac:dyDescent="0.25">
      <c r="A41" s="215"/>
      <c r="C41" s="33" t="s">
        <v>801</v>
      </c>
      <c r="D41" s="146" t="s">
        <v>556</v>
      </c>
      <c r="E41" s="84" t="s">
        <v>6</v>
      </c>
      <c r="F41" s="183" t="str">
        <f>IF(Table9712[[#This Row],[Result]]="NC","n","")</f>
        <v/>
      </c>
      <c r="G41" s="184" t="str">
        <f>IF(Table9712[[#This Row],[Result]]="pC","n","")</f>
        <v>n</v>
      </c>
      <c r="H41" s="185" t="str">
        <f>IF(Table9712[[#This Row],[Result]]="C","n","")</f>
        <v/>
      </c>
      <c r="I41" s="186"/>
    </row>
    <row r="42" spans="1:9" ht="15" customHeight="1" x14ac:dyDescent="0.25">
      <c r="A42" s="215"/>
      <c r="C42" s="33" t="s">
        <v>802</v>
      </c>
      <c r="D42" s="146" t="s">
        <v>557</v>
      </c>
      <c r="E42" s="84" t="s">
        <v>7</v>
      </c>
      <c r="F42" s="183" t="str">
        <f>IF(Table9712[[#This Row],[Result]]="NC","n","")</f>
        <v/>
      </c>
      <c r="G42" s="184" t="str">
        <f>IF(Table9712[[#This Row],[Result]]="pC","n","")</f>
        <v/>
      </c>
      <c r="H42" s="185" t="str">
        <f>IF(Table9712[[#This Row],[Result]]="C","n","")</f>
        <v>n</v>
      </c>
      <c r="I42" s="186"/>
    </row>
    <row r="43" spans="1:9" ht="15" customHeight="1" x14ac:dyDescent="0.25">
      <c r="A43" s="215"/>
      <c r="C43" s="33" t="s">
        <v>803</v>
      </c>
      <c r="D43" s="146" t="s">
        <v>558</v>
      </c>
      <c r="E43" s="84" t="s">
        <v>7</v>
      </c>
      <c r="F43" s="183" t="str">
        <f>IF(Table9712[[#This Row],[Result]]="NC","n","")</f>
        <v/>
      </c>
      <c r="G43" s="184" t="str">
        <f>IF(Table9712[[#This Row],[Result]]="pC","n","")</f>
        <v/>
      </c>
      <c r="H43" s="185" t="str">
        <f>IF(Table9712[[#This Row],[Result]]="C","n","")</f>
        <v>n</v>
      </c>
      <c r="I43" s="186"/>
    </row>
    <row r="44" spans="1:9" ht="15" customHeight="1" x14ac:dyDescent="0.25">
      <c r="A44" s="215"/>
      <c r="C44" s="33" t="s">
        <v>804</v>
      </c>
      <c r="D44" s="146" t="s">
        <v>559</v>
      </c>
      <c r="E44" s="84" t="s">
        <v>7</v>
      </c>
      <c r="F44" s="183" t="str">
        <f>IF(Table9712[[#This Row],[Result]]="NC","n","")</f>
        <v/>
      </c>
      <c r="G44" s="184" t="str">
        <f>IF(Table9712[[#This Row],[Result]]="pC","n","")</f>
        <v/>
      </c>
      <c r="H44" s="185" t="str">
        <f>IF(Table9712[[#This Row],[Result]]="C","n","")</f>
        <v>n</v>
      </c>
      <c r="I44" s="186"/>
    </row>
    <row r="45" spans="1:9" ht="15" customHeight="1" x14ac:dyDescent="0.25">
      <c r="A45" s="215"/>
      <c r="C45" s="33" t="s">
        <v>805</v>
      </c>
      <c r="D45" s="146" t="s">
        <v>560</v>
      </c>
      <c r="E45" s="84" t="s">
        <v>6</v>
      </c>
      <c r="F45" s="183" t="str">
        <f>IF(Table9712[[#This Row],[Result]]="NC","n","")</f>
        <v/>
      </c>
      <c r="G45" s="184" t="str">
        <f>IF(Table9712[[#This Row],[Result]]="pC","n","")</f>
        <v>n</v>
      </c>
      <c r="H45" s="185" t="str">
        <f>IF(Table9712[[#This Row],[Result]]="C","n","")</f>
        <v/>
      </c>
      <c r="I45" s="186"/>
    </row>
    <row r="46" spans="1:9" ht="15" customHeight="1" x14ac:dyDescent="0.25">
      <c r="A46" s="215"/>
      <c r="C46" s="33" t="s">
        <v>806</v>
      </c>
      <c r="D46" s="146" t="s">
        <v>561</v>
      </c>
      <c r="E46" s="84" t="s">
        <v>5</v>
      </c>
      <c r="F46" s="183" t="str">
        <f>IF(Table9712[[#This Row],[Result]]="NC","n","")</f>
        <v>n</v>
      </c>
      <c r="G46" s="184" t="str">
        <f>IF(Table9712[[#This Row],[Result]]="pC","n","")</f>
        <v/>
      </c>
      <c r="H46" s="185" t="str">
        <f>IF(Table9712[[#This Row],[Result]]="C","n","")</f>
        <v/>
      </c>
      <c r="I46" s="186"/>
    </row>
    <row r="47" spans="1:9" ht="15" customHeight="1" x14ac:dyDescent="0.25">
      <c r="A47" s="215"/>
      <c r="C47" s="33" t="s">
        <v>807</v>
      </c>
      <c r="D47" s="146" t="s">
        <v>737</v>
      </c>
      <c r="E47" s="84" t="s">
        <v>7</v>
      </c>
      <c r="F47" s="183" t="str">
        <f>IF(Table9712[[#This Row],[Result]]="NC","n","")</f>
        <v/>
      </c>
      <c r="G47" s="184" t="str">
        <f>IF(Table9712[[#This Row],[Result]]="pC","n","")</f>
        <v/>
      </c>
      <c r="H47" s="185" t="str">
        <f>IF(Table9712[[#This Row],[Result]]="C","n","")</f>
        <v>n</v>
      </c>
      <c r="I47" s="186"/>
    </row>
    <row r="48" spans="1:9" ht="15" customHeight="1" x14ac:dyDescent="0.25">
      <c r="A48" s="215"/>
      <c r="C48" s="33" t="s">
        <v>808</v>
      </c>
      <c r="D48" s="146" t="s">
        <v>562</v>
      </c>
      <c r="E48" s="84" t="s">
        <v>5</v>
      </c>
      <c r="F48" s="183" t="str">
        <f>IF(Table9712[[#This Row],[Result]]="NC","n","")</f>
        <v>n</v>
      </c>
      <c r="G48" s="184" t="str">
        <f>IF(Table9712[[#This Row],[Result]]="pC","n","")</f>
        <v/>
      </c>
      <c r="H48" s="185" t="str">
        <f>IF(Table9712[[#This Row],[Result]]="C","n","")</f>
        <v/>
      </c>
      <c r="I48" s="186"/>
    </row>
    <row r="49" spans="1:9" ht="15" customHeight="1" x14ac:dyDescent="0.25">
      <c r="A49" s="215"/>
      <c r="C49" s="33" t="s">
        <v>809</v>
      </c>
      <c r="D49" s="146" t="s">
        <v>563</v>
      </c>
      <c r="E49" s="84" t="s">
        <v>7</v>
      </c>
      <c r="F49" s="183" t="str">
        <f>IF(Table9712[[#This Row],[Result]]="NC","n","")</f>
        <v/>
      </c>
      <c r="G49" s="184" t="str">
        <f>IF(Table9712[[#This Row],[Result]]="pC","n","")</f>
        <v/>
      </c>
      <c r="H49" s="185" t="str">
        <f>IF(Table9712[[#This Row],[Result]]="C","n","")</f>
        <v>n</v>
      </c>
      <c r="I49" s="186"/>
    </row>
    <row r="50" spans="1:9" ht="15" customHeight="1" x14ac:dyDescent="0.25">
      <c r="A50" s="215"/>
      <c r="C50" s="33" t="s">
        <v>810</v>
      </c>
      <c r="D50" s="146" t="s">
        <v>738</v>
      </c>
      <c r="E50" s="84" t="s">
        <v>6</v>
      </c>
      <c r="F50" s="183" t="str">
        <f>IF(Table9712[[#This Row],[Result]]="NC","n","")</f>
        <v/>
      </c>
      <c r="G50" s="184" t="str">
        <f>IF(Table9712[[#This Row],[Result]]="pC","n","")</f>
        <v>n</v>
      </c>
      <c r="H50" s="185" t="str">
        <f>IF(Table9712[[#This Row],[Result]]="C","n","")</f>
        <v/>
      </c>
      <c r="I50" s="186"/>
    </row>
    <row r="51" spans="1:9" ht="15" customHeight="1" x14ac:dyDescent="0.25">
      <c r="A51" s="215"/>
      <c r="C51" s="33" t="s">
        <v>811</v>
      </c>
      <c r="D51" s="146" t="s">
        <v>565</v>
      </c>
      <c r="E51" s="67" t="s">
        <v>6</v>
      </c>
      <c r="F51" s="183" t="str">
        <f>IF(Table9712[[#This Row],[Result]]="NC","n","")</f>
        <v/>
      </c>
      <c r="G51" s="184" t="str">
        <f>IF(Table9712[[#This Row],[Result]]="pC","n","")</f>
        <v>n</v>
      </c>
      <c r="H51" s="185" t="str">
        <f>IF(Table9712[[#This Row],[Result]]="C","n","")</f>
        <v/>
      </c>
      <c r="I51" s="186"/>
    </row>
    <row r="52" spans="1:9" ht="15" customHeight="1" x14ac:dyDescent="0.25">
      <c r="A52" s="215"/>
      <c r="C52" s="33" t="s">
        <v>812</v>
      </c>
      <c r="D52" s="146" t="s">
        <v>566</v>
      </c>
      <c r="E52" s="84" t="s">
        <v>6</v>
      </c>
      <c r="F52" s="183" t="str">
        <f>IF(Table9712[[#This Row],[Result]]="NC","n","")</f>
        <v/>
      </c>
      <c r="G52" s="184" t="str">
        <f>IF(Table9712[[#This Row],[Result]]="pC","n","")</f>
        <v>n</v>
      </c>
      <c r="H52" s="185" t="str">
        <f>IF(Table9712[[#This Row],[Result]]="C","n","")</f>
        <v/>
      </c>
      <c r="I52" s="186"/>
    </row>
    <row r="53" spans="1:9" ht="15" customHeight="1" x14ac:dyDescent="0.25">
      <c r="A53" s="215"/>
      <c r="C53" s="33" t="s">
        <v>813</v>
      </c>
      <c r="D53" s="146" t="s">
        <v>567</v>
      </c>
      <c r="E53" s="84" t="s">
        <v>7</v>
      </c>
      <c r="F53" s="183" t="str">
        <f>IF(Table9712[[#This Row],[Result]]="NC","n","")</f>
        <v/>
      </c>
      <c r="G53" s="184" t="str">
        <f>IF(Table9712[[#This Row],[Result]]="pC","n","")</f>
        <v/>
      </c>
      <c r="H53" s="185" t="str">
        <f>IF(Table9712[[#This Row],[Result]]="C","n","")</f>
        <v>n</v>
      </c>
      <c r="I53" s="186"/>
    </row>
    <row r="54" spans="1:9" ht="15" customHeight="1" x14ac:dyDescent="0.25">
      <c r="A54" s="215"/>
      <c r="C54" s="33" t="s">
        <v>814</v>
      </c>
      <c r="D54" s="146" t="s">
        <v>568</v>
      </c>
      <c r="E54" s="84" t="s">
        <v>7</v>
      </c>
      <c r="F54" s="183" t="str">
        <f>IF(Table9712[[#This Row],[Result]]="NC","n","")</f>
        <v/>
      </c>
      <c r="G54" s="184" t="str">
        <f>IF(Table9712[[#This Row],[Result]]="pC","n","")</f>
        <v/>
      </c>
      <c r="H54" s="185" t="str">
        <f>IF(Table9712[[#This Row],[Result]]="C","n","")</f>
        <v>n</v>
      </c>
      <c r="I54" s="186"/>
    </row>
    <row r="55" spans="1:9" ht="15" customHeight="1" x14ac:dyDescent="0.25">
      <c r="A55" s="215"/>
      <c r="C55" s="33" t="s">
        <v>815</v>
      </c>
      <c r="D55" s="146" t="s">
        <v>569</v>
      </c>
      <c r="E55" s="84" t="s">
        <v>7</v>
      </c>
      <c r="F55" s="183" t="str">
        <f>IF(Table9712[[#This Row],[Result]]="NC","n","")</f>
        <v/>
      </c>
      <c r="G55" s="184" t="str">
        <f>IF(Table9712[[#This Row],[Result]]="pC","n","")</f>
        <v/>
      </c>
      <c r="H55" s="185" t="str">
        <f>IF(Table9712[[#This Row],[Result]]="C","n","")</f>
        <v>n</v>
      </c>
      <c r="I55" s="186"/>
    </row>
    <row r="56" spans="1:9" ht="15" customHeight="1" x14ac:dyDescent="0.25">
      <c r="A56" s="215" t="s">
        <v>739</v>
      </c>
      <c r="C56" s="33" t="s">
        <v>816</v>
      </c>
      <c r="D56" s="146" t="s">
        <v>570</v>
      </c>
      <c r="E56" s="84" t="s">
        <v>6</v>
      </c>
      <c r="F56" s="183" t="str">
        <f>IF(Table9712[[#This Row],[Result]]="NC","n","")</f>
        <v/>
      </c>
      <c r="G56" s="184" t="str">
        <f>IF(Table9712[[#This Row],[Result]]="pC","n","")</f>
        <v>n</v>
      </c>
      <c r="H56" s="185" t="str">
        <f>IF(Table9712[[#This Row],[Result]]="C","n","")</f>
        <v/>
      </c>
      <c r="I56" s="186"/>
    </row>
    <row r="57" spans="1:9" ht="15" customHeight="1" x14ac:dyDescent="0.25">
      <c r="A57" s="215"/>
      <c r="C57" s="33" t="s">
        <v>817</v>
      </c>
      <c r="D57" s="146" t="s">
        <v>571</v>
      </c>
      <c r="E57" s="84" t="s">
        <v>7</v>
      </c>
      <c r="F57" s="183" t="str">
        <f>IF(Table9712[[#This Row],[Result]]="NC","n","")</f>
        <v/>
      </c>
      <c r="G57" s="184" t="str">
        <f>IF(Table9712[[#This Row],[Result]]="pC","n","")</f>
        <v/>
      </c>
      <c r="H57" s="185" t="str">
        <f>IF(Table9712[[#This Row],[Result]]="C","n","")</f>
        <v>n</v>
      </c>
      <c r="I57" s="186"/>
    </row>
    <row r="58" spans="1:9" ht="15" customHeight="1" x14ac:dyDescent="0.25">
      <c r="A58" s="215"/>
      <c r="C58" s="33" t="s">
        <v>818</v>
      </c>
      <c r="D58" s="146" t="s">
        <v>572</v>
      </c>
      <c r="E58" s="84" t="s">
        <v>7</v>
      </c>
      <c r="F58" s="183" t="str">
        <f>IF(Table9712[[#This Row],[Result]]="NC","n","")</f>
        <v/>
      </c>
      <c r="G58" s="184" t="str">
        <f>IF(Table9712[[#This Row],[Result]]="pC","n","")</f>
        <v/>
      </c>
      <c r="H58" s="185" t="str">
        <f>IF(Table9712[[#This Row],[Result]]="C","n","")</f>
        <v>n</v>
      </c>
      <c r="I58" s="186"/>
    </row>
    <row r="59" spans="1:9" ht="15" customHeight="1" x14ac:dyDescent="0.25">
      <c r="A59" s="215"/>
      <c r="C59" s="33" t="s">
        <v>819</v>
      </c>
      <c r="D59" s="146" t="s">
        <v>573</v>
      </c>
      <c r="E59" s="84" t="s">
        <v>7</v>
      </c>
      <c r="F59" s="183" t="str">
        <f>IF(Table9712[[#This Row],[Result]]="NC","n","")</f>
        <v/>
      </c>
      <c r="G59" s="184" t="str">
        <f>IF(Table9712[[#This Row],[Result]]="pC","n","")</f>
        <v/>
      </c>
      <c r="H59" s="185" t="str">
        <f>IF(Table9712[[#This Row],[Result]]="C","n","")</f>
        <v>n</v>
      </c>
      <c r="I59" s="186"/>
    </row>
    <row r="60" spans="1:9" ht="15" customHeight="1" x14ac:dyDescent="0.25">
      <c r="A60" s="215"/>
      <c r="C60" s="33" t="s">
        <v>820</v>
      </c>
      <c r="D60" s="146" t="s">
        <v>574</v>
      </c>
      <c r="E60" s="84" t="s">
        <v>6</v>
      </c>
      <c r="F60" s="183" t="str">
        <f>IF(Table9712[[#This Row],[Result]]="NC","n","")</f>
        <v/>
      </c>
      <c r="G60" s="184" t="str">
        <f>IF(Table9712[[#This Row],[Result]]="pC","n","")</f>
        <v>n</v>
      </c>
      <c r="H60" s="185" t="str">
        <f>IF(Table9712[[#This Row],[Result]]="C","n","")</f>
        <v/>
      </c>
      <c r="I60" s="186"/>
    </row>
    <row r="61" spans="1:9" ht="15" customHeight="1" x14ac:dyDescent="0.25">
      <c r="A61" s="215"/>
      <c r="C61" s="33" t="s">
        <v>821</v>
      </c>
      <c r="D61" s="146" t="s">
        <v>575</v>
      </c>
      <c r="E61" s="84" t="s">
        <v>5</v>
      </c>
      <c r="F61" s="183" t="str">
        <f>IF(Table9712[[#This Row],[Result]]="NC","n","")</f>
        <v>n</v>
      </c>
      <c r="G61" s="184" t="str">
        <f>IF(Table9712[[#This Row],[Result]]="pC","n","")</f>
        <v/>
      </c>
      <c r="H61" s="185" t="str">
        <f>IF(Table9712[[#This Row],[Result]]="C","n","")</f>
        <v/>
      </c>
      <c r="I61" s="186"/>
    </row>
    <row r="62" spans="1:9" ht="15" customHeight="1" x14ac:dyDescent="0.25">
      <c r="A62" s="215"/>
      <c r="C62" s="33" t="s">
        <v>822</v>
      </c>
      <c r="D62" s="146" t="s">
        <v>576</v>
      </c>
      <c r="E62" s="84" t="s">
        <v>7</v>
      </c>
      <c r="F62" s="183" t="str">
        <f>IF(Table9712[[#This Row],[Result]]="NC","n","")</f>
        <v/>
      </c>
      <c r="G62" s="184" t="str">
        <f>IF(Table9712[[#This Row],[Result]]="pC","n","")</f>
        <v/>
      </c>
      <c r="H62" s="185" t="str">
        <f>IF(Table9712[[#This Row],[Result]]="C","n","")</f>
        <v>n</v>
      </c>
      <c r="I62" s="186"/>
    </row>
    <row r="63" spans="1:9" ht="15" customHeight="1" x14ac:dyDescent="0.25">
      <c r="A63" s="215" t="s">
        <v>746</v>
      </c>
      <c r="C63" s="33" t="s">
        <v>823</v>
      </c>
      <c r="D63" s="146" t="s">
        <v>740</v>
      </c>
      <c r="E63" s="84" t="s">
        <v>5</v>
      </c>
      <c r="F63" s="183" t="str">
        <f>IF(Table9712[[#This Row],[Result]]="NC","n","")</f>
        <v>n</v>
      </c>
      <c r="G63" s="184" t="str">
        <f>IF(Table9712[[#This Row],[Result]]="pC","n","")</f>
        <v/>
      </c>
      <c r="H63" s="185" t="str">
        <f>IF(Table9712[[#This Row],[Result]]="C","n","")</f>
        <v/>
      </c>
      <c r="I63" s="186"/>
    </row>
    <row r="64" spans="1:9" ht="15" customHeight="1" x14ac:dyDescent="0.25">
      <c r="A64" s="215"/>
      <c r="C64" s="33" t="s">
        <v>824</v>
      </c>
      <c r="D64" s="146" t="s">
        <v>741</v>
      </c>
      <c r="E64" s="84" t="s">
        <v>7</v>
      </c>
      <c r="F64" s="183" t="str">
        <f>IF(Table9712[[#This Row],[Result]]="NC","n","")</f>
        <v/>
      </c>
      <c r="G64" s="184" t="str">
        <f>IF(Table9712[[#This Row],[Result]]="pC","n","")</f>
        <v/>
      </c>
      <c r="H64" s="185" t="str">
        <f>IF(Table9712[[#This Row],[Result]]="C","n","")</f>
        <v>n</v>
      </c>
      <c r="I64" s="186"/>
    </row>
    <row r="65" spans="1:9" ht="15" customHeight="1" x14ac:dyDescent="0.25">
      <c r="A65" s="215"/>
      <c r="C65" s="33" t="s">
        <v>825</v>
      </c>
      <c r="D65" s="146" t="s">
        <v>742</v>
      </c>
      <c r="E65" s="84" t="s">
        <v>6</v>
      </c>
      <c r="F65" s="183" t="str">
        <f>IF(Table9712[[#This Row],[Result]]="NC","n","")</f>
        <v/>
      </c>
      <c r="G65" s="184" t="str">
        <f>IF(Table9712[[#This Row],[Result]]="pC","n","")</f>
        <v>n</v>
      </c>
      <c r="H65" s="185" t="str">
        <f>IF(Table9712[[#This Row],[Result]]="C","n","")</f>
        <v/>
      </c>
      <c r="I65" s="186"/>
    </row>
    <row r="66" spans="1:9" ht="15" customHeight="1" x14ac:dyDescent="0.25">
      <c r="A66" s="215"/>
      <c r="C66" s="33" t="s">
        <v>826</v>
      </c>
      <c r="D66" s="146" t="s">
        <v>743</v>
      </c>
      <c r="E66" s="84" t="s">
        <v>6</v>
      </c>
      <c r="F66" s="183" t="str">
        <f>IF(Table9712[[#This Row],[Result]]="NC","n","")</f>
        <v/>
      </c>
      <c r="G66" s="184" t="str">
        <f>IF(Table9712[[#This Row],[Result]]="pC","n","")</f>
        <v>n</v>
      </c>
      <c r="H66" s="185" t="str">
        <f>IF(Table9712[[#This Row],[Result]]="C","n","")</f>
        <v/>
      </c>
      <c r="I66" s="186"/>
    </row>
    <row r="67" spans="1:9" ht="15" customHeight="1" x14ac:dyDescent="0.25">
      <c r="A67" s="215"/>
      <c r="C67" s="33" t="s">
        <v>827</v>
      </c>
      <c r="D67" s="146" t="s">
        <v>744</v>
      </c>
      <c r="E67" s="84" t="s">
        <v>7</v>
      </c>
      <c r="F67" s="183" t="str">
        <f>IF(Table9712[[#This Row],[Result]]="NC","n","")</f>
        <v/>
      </c>
      <c r="G67" s="184" t="str">
        <f>IF(Table9712[[#This Row],[Result]]="pC","n","")</f>
        <v/>
      </c>
      <c r="H67" s="185" t="str">
        <f>IF(Table9712[[#This Row],[Result]]="C","n","")</f>
        <v>n</v>
      </c>
      <c r="I67" s="186"/>
    </row>
    <row r="68" spans="1:9" ht="15" customHeight="1" x14ac:dyDescent="0.25">
      <c r="A68" s="215"/>
      <c r="C68" s="33" t="s">
        <v>828</v>
      </c>
      <c r="D68" s="146" t="s">
        <v>745</v>
      </c>
      <c r="E68" s="84" t="s">
        <v>7</v>
      </c>
      <c r="F68" s="183" t="str">
        <f>IF(Table9712[[#This Row],[Result]]="NC","n","")</f>
        <v/>
      </c>
      <c r="G68" s="184" t="str">
        <f>IF(Table9712[[#This Row],[Result]]="pC","n","")</f>
        <v/>
      </c>
      <c r="H68" s="185" t="str">
        <f>IF(Table9712[[#This Row],[Result]]="C","n","")</f>
        <v>n</v>
      </c>
      <c r="I68" s="186"/>
    </row>
    <row r="69" spans="1:9" ht="15" customHeight="1" x14ac:dyDescent="0.25">
      <c r="A69" s="215" t="s">
        <v>747</v>
      </c>
      <c r="C69" s="33" t="s">
        <v>829</v>
      </c>
      <c r="D69" s="146" t="s">
        <v>583</v>
      </c>
      <c r="E69" s="84" t="s">
        <v>7</v>
      </c>
      <c r="F69" s="183" t="str">
        <f>IF(Table9712[[#This Row],[Result]]="NC","n","")</f>
        <v/>
      </c>
      <c r="G69" s="184" t="str">
        <f>IF(Table9712[[#This Row],[Result]]="pC","n","")</f>
        <v/>
      </c>
      <c r="H69" s="185" t="str">
        <f>IF(Table9712[[#This Row],[Result]]="C","n","")</f>
        <v>n</v>
      </c>
      <c r="I69" s="186"/>
    </row>
    <row r="70" spans="1:9" ht="15" customHeight="1" x14ac:dyDescent="0.25">
      <c r="A70" s="215"/>
      <c r="C70" s="33" t="s">
        <v>830</v>
      </c>
      <c r="D70" s="146" t="s">
        <v>584</v>
      </c>
      <c r="E70" s="84" t="s">
        <v>6</v>
      </c>
      <c r="F70" s="183" t="str">
        <f>IF(Table9712[[#This Row],[Result]]="NC","n","")</f>
        <v/>
      </c>
      <c r="G70" s="184" t="str">
        <f>IF(Table9712[[#This Row],[Result]]="pC","n","")</f>
        <v>n</v>
      </c>
      <c r="H70" s="185" t="str">
        <f>IF(Table9712[[#This Row],[Result]]="C","n","")</f>
        <v/>
      </c>
      <c r="I70" s="186"/>
    </row>
    <row r="71" spans="1:9" ht="15" customHeight="1" x14ac:dyDescent="0.25">
      <c r="A71" s="215"/>
      <c r="C71" s="33" t="s">
        <v>831</v>
      </c>
      <c r="D71" s="146" t="s">
        <v>585</v>
      </c>
      <c r="E71" s="84" t="s">
        <v>5</v>
      </c>
      <c r="F71" s="183" t="str">
        <f>IF(Table9712[[#This Row],[Result]]="NC","n","")</f>
        <v>n</v>
      </c>
      <c r="G71" s="184" t="str">
        <f>IF(Table9712[[#This Row],[Result]]="pC","n","")</f>
        <v/>
      </c>
      <c r="H71" s="185" t="str">
        <f>IF(Table9712[[#This Row],[Result]]="C","n","")</f>
        <v/>
      </c>
      <c r="I71" s="186"/>
    </row>
    <row r="72" spans="1:9" ht="15" customHeight="1" x14ac:dyDescent="0.25">
      <c r="A72" s="215"/>
      <c r="C72" s="33" t="s">
        <v>832</v>
      </c>
      <c r="D72" s="146" t="s">
        <v>586</v>
      </c>
      <c r="E72" s="84" t="s">
        <v>7</v>
      </c>
      <c r="F72" s="183" t="str">
        <f>IF(Table9712[[#This Row],[Result]]="NC","n","")</f>
        <v/>
      </c>
      <c r="G72" s="184" t="str">
        <f>IF(Table9712[[#This Row],[Result]]="pC","n","")</f>
        <v/>
      </c>
      <c r="H72" s="185" t="str">
        <f>IF(Table9712[[#This Row],[Result]]="C","n","")</f>
        <v>n</v>
      </c>
      <c r="I72" s="186"/>
    </row>
    <row r="73" spans="1:9" ht="15" customHeight="1" x14ac:dyDescent="0.25">
      <c r="A73" s="215"/>
      <c r="C73" s="33" t="s">
        <v>833</v>
      </c>
      <c r="D73" s="146" t="s">
        <v>587</v>
      </c>
      <c r="E73" s="84" t="s">
        <v>5</v>
      </c>
      <c r="F73" s="183" t="str">
        <f>IF(Table9712[[#This Row],[Result]]="NC","n","")</f>
        <v>n</v>
      </c>
      <c r="G73" s="184" t="str">
        <f>IF(Table9712[[#This Row],[Result]]="pC","n","")</f>
        <v/>
      </c>
      <c r="H73" s="185" t="str">
        <f>IF(Table9712[[#This Row],[Result]]="C","n","")</f>
        <v/>
      </c>
      <c r="I73" s="186"/>
    </row>
    <row r="74" spans="1:9" ht="15" customHeight="1" x14ac:dyDescent="0.25">
      <c r="A74" s="215"/>
      <c r="C74" s="33" t="s">
        <v>834</v>
      </c>
      <c r="D74" s="146" t="s">
        <v>588</v>
      </c>
      <c r="E74" s="84" t="s">
        <v>7</v>
      </c>
      <c r="F74" s="183" t="str">
        <f>IF(Table9712[[#This Row],[Result]]="NC","n","")</f>
        <v/>
      </c>
      <c r="G74" s="184" t="str">
        <f>IF(Table9712[[#This Row],[Result]]="pC","n","")</f>
        <v/>
      </c>
      <c r="H74" s="185" t="str">
        <f>IF(Table9712[[#This Row],[Result]]="C","n","")</f>
        <v>n</v>
      </c>
      <c r="I74" s="186"/>
    </row>
    <row r="75" spans="1:9" ht="15" customHeight="1" x14ac:dyDescent="0.25">
      <c r="A75" s="215"/>
      <c r="C75" s="33" t="s">
        <v>835</v>
      </c>
      <c r="D75" s="146" t="s">
        <v>589</v>
      </c>
      <c r="E75" s="84" t="s">
        <v>6</v>
      </c>
      <c r="F75" s="183" t="str">
        <f>IF(Table9712[[#This Row],[Result]]="NC","n","")</f>
        <v/>
      </c>
      <c r="G75" s="184" t="str">
        <f>IF(Table9712[[#This Row],[Result]]="pC","n","")</f>
        <v>n</v>
      </c>
      <c r="H75" s="185" t="str">
        <f>IF(Table9712[[#This Row],[Result]]="C","n","")</f>
        <v/>
      </c>
      <c r="I75" s="186"/>
    </row>
    <row r="76" spans="1:9" ht="15" customHeight="1" x14ac:dyDescent="0.25">
      <c r="A76" s="215"/>
      <c r="C76" s="33" t="s">
        <v>836</v>
      </c>
      <c r="D76" s="146" t="s">
        <v>590</v>
      </c>
      <c r="E76" s="67" t="s">
        <v>6</v>
      </c>
      <c r="F76" s="183" t="str">
        <f>IF(Table9712[[#This Row],[Result]]="NC","n","")</f>
        <v/>
      </c>
      <c r="G76" s="184" t="str">
        <f>IF(Table9712[[#This Row],[Result]]="pC","n","")</f>
        <v>n</v>
      </c>
      <c r="H76" s="185" t="str">
        <f>IF(Table9712[[#This Row],[Result]]="C","n","")</f>
        <v/>
      </c>
      <c r="I76" s="186"/>
    </row>
    <row r="77" spans="1:9" ht="15" customHeight="1" x14ac:dyDescent="0.25">
      <c r="A77" s="215" t="s">
        <v>625</v>
      </c>
      <c r="C77" s="33" t="s">
        <v>837</v>
      </c>
      <c r="D77" s="146" t="s">
        <v>591</v>
      </c>
      <c r="E77" s="84" t="s">
        <v>5</v>
      </c>
      <c r="F77" s="183" t="str">
        <f>IF(Table9712[[#This Row],[Result]]="NC","n","")</f>
        <v>n</v>
      </c>
      <c r="G77" s="184" t="str">
        <f>IF(Table9712[[#This Row],[Result]]="pC","n","")</f>
        <v/>
      </c>
      <c r="H77" s="185" t="str">
        <f>IF(Table9712[[#This Row],[Result]]="C","n","")</f>
        <v/>
      </c>
      <c r="I77" s="186"/>
    </row>
    <row r="78" spans="1:9" ht="15" customHeight="1" x14ac:dyDescent="0.25">
      <c r="A78" s="215"/>
      <c r="C78" s="33" t="s">
        <v>838</v>
      </c>
      <c r="D78" s="146" t="s">
        <v>748</v>
      </c>
      <c r="E78" s="84" t="s">
        <v>5</v>
      </c>
      <c r="F78" s="183" t="str">
        <f>IF(Table9712[[#This Row],[Result]]="NC","n","")</f>
        <v>n</v>
      </c>
      <c r="G78" s="184" t="str">
        <f>IF(Table9712[[#This Row],[Result]]="pC","n","")</f>
        <v/>
      </c>
      <c r="H78" s="185" t="str">
        <f>IF(Table9712[[#This Row],[Result]]="C","n","")</f>
        <v/>
      </c>
      <c r="I78" s="186"/>
    </row>
    <row r="79" spans="1:9" ht="15" customHeight="1" x14ac:dyDescent="0.25">
      <c r="A79" s="215"/>
      <c r="C79" s="33" t="s">
        <v>839</v>
      </c>
      <c r="D79" s="146" t="s">
        <v>592</v>
      </c>
      <c r="E79" s="84" t="s">
        <v>6</v>
      </c>
      <c r="F79" s="183" t="str">
        <f>IF(Table9712[[#This Row],[Result]]="NC","n","")</f>
        <v/>
      </c>
      <c r="G79" s="184" t="str">
        <f>IF(Table9712[[#This Row],[Result]]="pC","n","")</f>
        <v>n</v>
      </c>
      <c r="H79" s="185" t="str">
        <f>IF(Table9712[[#This Row],[Result]]="C","n","")</f>
        <v/>
      </c>
      <c r="I79" s="186"/>
    </row>
    <row r="80" spans="1:9" ht="15" customHeight="1" x14ac:dyDescent="0.25">
      <c r="A80" s="215"/>
      <c r="C80" s="33" t="s">
        <v>840</v>
      </c>
      <c r="D80" s="146" t="s">
        <v>593</v>
      </c>
      <c r="E80" s="84" t="s">
        <v>7</v>
      </c>
      <c r="F80" s="183" t="str">
        <f>IF(Table9712[[#This Row],[Result]]="NC","n","")</f>
        <v/>
      </c>
      <c r="G80" s="184" t="str">
        <f>IF(Table9712[[#This Row],[Result]]="pC","n","")</f>
        <v/>
      </c>
      <c r="H80" s="185" t="str">
        <f>IF(Table9712[[#This Row],[Result]]="C","n","")</f>
        <v>n</v>
      </c>
      <c r="I80" s="186"/>
    </row>
    <row r="81" spans="1:9" ht="15" customHeight="1" x14ac:dyDescent="0.25">
      <c r="A81" s="215"/>
      <c r="C81" s="33" t="s">
        <v>841</v>
      </c>
      <c r="D81" s="146" t="s">
        <v>594</v>
      </c>
      <c r="E81" s="84" t="s">
        <v>6</v>
      </c>
      <c r="F81" s="183" t="str">
        <f>IF(Table9712[[#This Row],[Result]]="NC","n","")</f>
        <v/>
      </c>
      <c r="G81" s="184" t="str">
        <f>IF(Table9712[[#This Row],[Result]]="pC","n","")</f>
        <v>n</v>
      </c>
      <c r="H81" s="185" t="str">
        <f>IF(Table9712[[#This Row],[Result]]="C","n","")</f>
        <v/>
      </c>
      <c r="I81" s="186"/>
    </row>
    <row r="82" spans="1:9" ht="15" customHeight="1" x14ac:dyDescent="0.25">
      <c r="A82" s="215"/>
      <c r="C82" s="33" t="s">
        <v>842</v>
      </c>
      <c r="D82" s="146" t="s">
        <v>595</v>
      </c>
      <c r="E82" s="67" t="s">
        <v>6</v>
      </c>
      <c r="F82" s="183" t="str">
        <f>IF(Table9712[[#This Row],[Result]]="NC","n","")</f>
        <v/>
      </c>
      <c r="G82" s="184" t="str">
        <f>IF(Table9712[[#This Row],[Result]]="pC","n","")</f>
        <v>n</v>
      </c>
      <c r="H82" s="185" t="str">
        <f>IF(Table9712[[#This Row],[Result]]="C","n","")</f>
        <v/>
      </c>
      <c r="I82" s="186"/>
    </row>
    <row r="83" spans="1:9" ht="15" customHeight="1" x14ac:dyDescent="0.25">
      <c r="A83" s="215"/>
      <c r="C83" s="33" t="s">
        <v>843</v>
      </c>
      <c r="D83" s="146" t="s">
        <v>596</v>
      </c>
      <c r="E83" s="84" t="s">
        <v>5</v>
      </c>
      <c r="F83" s="183" t="str">
        <f>IF(Table9712[[#This Row],[Result]]="NC","n","")</f>
        <v>n</v>
      </c>
      <c r="G83" s="184" t="str">
        <f>IF(Table9712[[#This Row],[Result]]="pC","n","")</f>
        <v/>
      </c>
      <c r="H83" s="185" t="str">
        <f>IF(Table9712[[#This Row],[Result]]="C","n","")</f>
        <v/>
      </c>
      <c r="I83" s="186"/>
    </row>
    <row r="84" spans="1:9" ht="15" customHeight="1" x14ac:dyDescent="0.25">
      <c r="A84" s="215"/>
      <c r="C84" s="33" t="s">
        <v>844</v>
      </c>
      <c r="D84" s="146" t="s">
        <v>597</v>
      </c>
      <c r="E84" s="84" t="s">
        <v>5</v>
      </c>
      <c r="F84" s="183" t="str">
        <f>IF(Table9712[[#This Row],[Result]]="NC","n","")</f>
        <v>n</v>
      </c>
      <c r="G84" s="184" t="str">
        <f>IF(Table9712[[#This Row],[Result]]="pC","n","")</f>
        <v/>
      </c>
      <c r="H84" s="185" t="str">
        <f>IF(Table9712[[#This Row],[Result]]="C","n","")</f>
        <v/>
      </c>
      <c r="I84" s="186"/>
    </row>
    <row r="85" spans="1:9" ht="15" customHeight="1" x14ac:dyDescent="0.25">
      <c r="A85" s="215"/>
      <c r="C85" s="33" t="s">
        <v>845</v>
      </c>
      <c r="D85" s="146" t="s">
        <v>598</v>
      </c>
      <c r="E85" s="84" t="s">
        <v>6</v>
      </c>
      <c r="F85" s="183" t="str">
        <f>IF(Table9712[[#This Row],[Result]]="NC","n","")</f>
        <v/>
      </c>
      <c r="G85" s="184" t="str">
        <f>IF(Table9712[[#This Row],[Result]]="pC","n","")</f>
        <v>n</v>
      </c>
      <c r="H85" s="185" t="str">
        <f>IF(Table9712[[#This Row],[Result]]="C","n","")</f>
        <v/>
      </c>
      <c r="I85" s="186"/>
    </row>
    <row r="86" spans="1:9" ht="15" customHeight="1" x14ac:dyDescent="0.25">
      <c r="A86" s="215"/>
      <c r="C86" s="33" t="s">
        <v>846</v>
      </c>
      <c r="D86" s="146" t="s">
        <v>599</v>
      </c>
      <c r="E86" s="84" t="s">
        <v>7</v>
      </c>
      <c r="F86" s="183" t="str">
        <f>IF(Table9712[[#This Row],[Result]]="NC","n","")</f>
        <v/>
      </c>
      <c r="G86" s="184" t="str">
        <f>IF(Table9712[[#This Row],[Result]]="pC","n","")</f>
        <v/>
      </c>
      <c r="H86" s="185" t="str">
        <f>IF(Table9712[[#This Row],[Result]]="C","n","")</f>
        <v>n</v>
      </c>
      <c r="I86" s="186"/>
    </row>
    <row r="87" spans="1:9" ht="15" customHeight="1" x14ac:dyDescent="0.25">
      <c r="A87" s="215"/>
      <c r="C87" s="33" t="s">
        <v>847</v>
      </c>
      <c r="D87" s="146" t="s">
        <v>631</v>
      </c>
      <c r="E87" s="182" t="s">
        <v>7</v>
      </c>
      <c r="F87" s="183" t="str">
        <f>IF(Table9712[[#This Row],[Result]]="NC","n","")</f>
        <v/>
      </c>
      <c r="G87" s="184" t="str">
        <f>IF(Table9712[[#This Row],[Result]]="pC","n","")</f>
        <v/>
      </c>
      <c r="H87" s="185" t="str">
        <f>IF(Table9712[[#This Row],[Result]]="C","n","")</f>
        <v>n</v>
      </c>
      <c r="I87" s="186"/>
    </row>
    <row r="88" spans="1:9" ht="15" customHeight="1" x14ac:dyDescent="0.25">
      <c r="A88" s="215"/>
      <c r="C88" s="33" t="s">
        <v>848</v>
      </c>
      <c r="D88" s="146" t="s">
        <v>600</v>
      </c>
      <c r="E88" s="182" t="s">
        <v>7</v>
      </c>
      <c r="F88" s="183" t="str">
        <f>IF(Table9712[[#This Row],[Result]]="NC","n","")</f>
        <v/>
      </c>
      <c r="G88" s="184" t="str">
        <f>IF(Table9712[[#This Row],[Result]]="pC","n","")</f>
        <v/>
      </c>
      <c r="H88" s="185" t="str">
        <f>IF(Table9712[[#This Row],[Result]]="C","n","")</f>
        <v>n</v>
      </c>
      <c r="I88" s="186"/>
    </row>
    <row r="89" spans="1:9" ht="15" customHeight="1" x14ac:dyDescent="0.25">
      <c r="A89" s="215"/>
      <c r="C89" s="33" t="s">
        <v>849</v>
      </c>
      <c r="D89" s="146" t="s">
        <v>601</v>
      </c>
      <c r="E89" s="84" t="s">
        <v>6</v>
      </c>
      <c r="F89" s="183" t="str">
        <f>IF(Table9712[[#This Row],[Result]]="NC","n","")</f>
        <v/>
      </c>
      <c r="G89" s="184" t="str">
        <f>IF(Table9712[[#This Row],[Result]]="pC","n","")</f>
        <v>n</v>
      </c>
      <c r="H89" s="185" t="str">
        <f>IF(Table9712[[#This Row],[Result]]="C","n","")</f>
        <v/>
      </c>
      <c r="I89" s="186"/>
    </row>
    <row r="90" spans="1:9" ht="15" customHeight="1" x14ac:dyDescent="0.25">
      <c r="A90" s="215"/>
      <c r="C90" s="33" t="s">
        <v>850</v>
      </c>
      <c r="D90" s="146" t="s">
        <v>602</v>
      </c>
      <c r="E90" s="84" t="s">
        <v>7</v>
      </c>
      <c r="F90" s="183" t="str">
        <f>IF(Table9712[[#This Row],[Result]]="NC","n","")</f>
        <v/>
      </c>
      <c r="G90" s="184" t="str">
        <f>IF(Table9712[[#This Row],[Result]]="pC","n","")</f>
        <v/>
      </c>
      <c r="H90" s="185" t="str">
        <f>IF(Table9712[[#This Row],[Result]]="C","n","")</f>
        <v>n</v>
      </c>
      <c r="I90" s="186"/>
    </row>
    <row r="91" spans="1:9" ht="15" customHeight="1" x14ac:dyDescent="0.25">
      <c r="A91" s="215"/>
      <c r="C91" s="33" t="s">
        <v>851</v>
      </c>
      <c r="D91" s="146" t="s">
        <v>603</v>
      </c>
      <c r="E91" s="84" t="s">
        <v>7</v>
      </c>
      <c r="F91" s="183" t="str">
        <f>IF(Table9712[[#This Row],[Result]]="NC","n","")</f>
        <v/>
      </c>
      <c r="G91" s="184" t="str">
        <f>IF(Table9712[[#This Row],[Result]]="pC","n","")</f>
        <v/>
      </c>
      <c r="H91" s="185" t="str">
        <f>IF(Table9712[[#This Row],[Result]]="C","n","")</f>
        <v>n</v>
      </c>
      <c r="I91" s="186"/>
    </row>
    <row r="92" spans="1:9" ht="15" customHeight="1" x14ac:dyDescent="0.25">
      <c r="A92" s="215"/>
      <c r="C92" s="33" t="s">
        <v>852</v>
      </c>
      <c r="D92" s="146" t="s">
        <v>604</v>
      </c>
      <c r="E92" s="84" t="s">
        <v>7</v>
      </c>
      <c r="F92" s="183" t="str">
        <f>IF(Table9712[[#This Row],[Result]]="NC","n","")</f>
        <v/>
      </c>
      <c r="G92" s="184" t="str">
        <f>IF(Table9712[[#This Row],[Result]]="pC","n","")</f>
        <v/>
      </c>
      <c r="H92" s="185" t="str">
        <f>IF(Table9712[[#This Row],[Result]]="C","n","")</f>
        <v>n</v>
      </c>
      <c r="I92" s="186"/>
    </row>
    <row r="93" spans="1:9" ht="15" customHeight="1" x14ac:dyDescent="0.25">
      <c r="A93" s="215" t="s">
        <v>754</v>
      </c>
      <c r="C93" s="33" t="s">
        <v>853</v>
      </c>
      <c r="D93" s="146" t="s">
        <v>749</v>
      </c>
      <c r="E93" s="84" t="s">
        <v>6</v>
      </c>
      <c r="F93" s="183" t="str">
        <f>IF(Table9712[[#This Row],[Result]]="NC","n","")</f>
        <v/>
      </c>
      <c r="G93" s="184" t="str">
        <f>IF(Table9712[[#This Row],[Result]]="pC","n","")</f>
        <v>n</v>
      </c>
      <c r="H93" s="185" t="str">
        <f>IF(Table9712[[#This Row],[Result]]="C","n","")</f>
        <v/>
      </c>
      <c r="I93" s="186"/>
    </row>
    <row r="94" spans="1:9" ht="15" customHeight="1" x14ac:dyDescent="0.25">
      <c r="A94" s="215"/>
      <c r="C94" s="33" t="s">
        <v>854</v>
      </c>
      <c r="D94" s="146" t="s">
        <v>750</v>
      </c>
      <c r="E94" s="84" t="s">
        <v>5</v>
      </c>
      <c r="F94" s="183" t="str">
        <f>IF(Table9712[[#This Row],[Result]]="NC","n","")</f>
        <v>n</v>
      </c>
      <c r="G94" s="184" t="str">
        <f>IF(Table9712[[#This Row],[Result]]="pC","n","")</f>
        <v/>
      </c>
      <c r="H94" s="185" t="str">
        <f>IF(Table9712[[#This Row],[Result]]="C","n","")</f>
        <v/>
      </c>
      <c r="I94" s="186"/>
    </row>
    <row r="95" spans="1:9" ht="15" customHeight="1" x14ac:dyDescent="0.25">
      <c r="A95" s="215"/>
      <c r="C95" s="33" t="s">
        <v>855</v>
      </c>
      <c r="D95" s="146" t="s">
        <v>751</v>
      </c>
      <c r="E95" s="84" t="s">
        <v>7</v>
      </c>
      <c r="F95" s="183" t="str">
        <f>IF(Table9712[[#This Row],[Result]]="NC","n","")</f>
        <v/>
      </c>
      <c r="G95" s="184" t="str">
        <f>IF(Table9712[[#This Row],[Result]]="pC","n","")</f>
        <v/>
      </c>
      <c r="H95" s="185" t="str">
        <f>IF(Table9712[[#This Row],[Result]]="C","n","")</f>
        <v>n</v>
      </c>
      <c r="I95" s="186"/>
    </row>
    <row r="96" spans="1:9" ht="15" customHeight="1" x14ac:dyDescent="0.25">
      <c r="A96" s="215"/>
      <c r="C96" s="33" t="s">
        <v>856</v>
      </c>
      <c r="D96" s="146" t="s">
        <v>752</v>
      </c>
      <c r="E96" s="84" t="s">
        <v>5</v>
      </c>
      <c r="F96" s="183" t="str">
        <f>IF(Table9712[[#This Row],[Result]]="NC","n","")</f>
        <v>n</v>
      </c>
      <c r="G96" s="184" t="str">
        <f>IF(Table9712[[#This Row],[Result]]="pC","n","")</f>
        <v/>
      </c>
      <c r="H96" s="185" t="str">
        <f>IF(Table9712[[#This Row],[Result]]="C","n","")</f>
        <v/>
      </c>
      <c r="I96" s="186"/>
    </row>
    <row r="97" spans="1:9" ht="15" customHeight="1" x14ac:dyDescent="0.25">
      <c r="A97" s="215"/>
      <c r="C97" s="33" t="s">
        <v>857</v>
      </c>
      <c r="D97" s="146" t="s">
        <v>753</v>
      </c>
      <c r="E97" s="84" t="s">
        <v>7</v>
      </c>
      <c r="F97" s="183" t="str">
        <f>IF(Table9712[[#This Row],[Result]]="NC","n","")</f>
        <v/>
      </c>
      <c r="G97" s="184" t="str">
        <f>IF(Table9712[[#This Row],[Result]]="pC","n","")</f>
        <v/>
      </c>
      <c r="H97" s="185" t="str">
        <f>IF(Table9712[[#This Row],[Result]]="C","n","")</f>
        <v>n</v>
      </c>
      <c r="I97" s="186"/>
    </row>
    <row r="98" spans="1:9" ht="15" customHeight="1" x14ac:dyDescent="0.25">
      <c r="A98" s="215" t="s">
        <v>755</v>
      </c>
      <c r="C98" s="33" t="s">
        <v>858</v>
      </c>
      <c r="D98" s="146" t="s">
        <v>610</v>
      </c>
      <c r="E98" s="84" t="s">
        <v>6</v>
      </c>
      <c r="F98" s="183" t="str">
        <f>IF(Table9712[[#This Row],[Result]]="NC","n","")</f>
        <v/>
      </c>
      <c r="G98" s="184" t="str">
        <f>IF(Table9712[[#This Row],[Result]]="pC","n","")</f>
        <v>n</v>
      </c>
      <c r="H98" s="185" t="str">
        <f>IF(Table9712[[#This Row],[Result]]="C","n","")</f>
        <v/>
      </c>
      <c r="I98" s="186"/>
    </row>
    <row r="99" spans="1:9" ht="15" customHeight="1" x14ac:dyDescent="0.25">
      <c r="A99" s="215"/>
      <c r="C99" s="33" t="s">
        <v>859</v>
      </c>
      <c r="D99" s="146" t="s">
        <v>611</v>
      </c>
      <c r="E99" s="84" t="s">
        <v>6</v>
      </c>
      <c r="F99" s="183" t="str">
        <f>IF(Table9712[[#This Row],[Result]]="NC","n","")</f>
        <v/>
      </c>
      <c r="G99" s="184" t="str">
        <f>IF(Table9712[[#This Row],[Result]]="pC","n","")</f>
        <v>n</v>
      </c>
      <c r="H99" s="185" t="str">
        <f>IF(Table9712[[#This Row],[Result]]="C","n","")</f>
        <v/>
      </c>
      <c r="I99" s="186"/>
    </row>
    <row r="100" spans="1:9" ht="15" customHeight="1" x14ac:dyDescent="0.25">
      <c r="A100" s="215"/>
      <c r="C100" s="33" t="s">
        <v>860</v>
      </c>
      <c r="D100" s="146" t="s">
        <v>612</v>
      </c>
      <c r="E100" s="84" t="s">
        <v>7</v>
      </c>
      <c r="F100" s="183" t="str">
        <f>IF(Table9712[[#This Row],[Result]]="NC","n","")</f>
        <v/>
      </c>
      <c r="G100" s="184" t="str">
        <f>IF(Table9712[[#This Row],[Result]]="pC","n","")</f>
        <v/>
      </c>
      <c r="H100" s="185" t="str">
        <f>IF(Table9712[[#This Row],[Result]]="C","n","")</f>
        <v>n</v>
      </c>
      <c r="I100" s="186"/>
    </row>
    <row r="101" spans="1:9" ht="15" customHeight="1" x14ac:dyDescent="0.25">
      <c r="A101" s="215"/>
      <c r="C101" s="33" t="s">
        <v>861</v>
      </c>
      <c r="D101" s="146" t="s">
        <v>613</v>
      </c>
      <c r="E101" s="84" t="s">
        <v>7</v>
      </c>
      <c r="F101" s="183" t="str">
        <f>IF(Table9712[[#This Row],[Result]]="NC","n","")</f>
        <v/>
      </c>
      <c r="G101" s="184" t="str">
        <f>IF(Table9712[[#This Row],[Result]]="pC","n","")</f>
        <v/>
      </c>
      <c r="H101" s="185" t="str">
        <f>IF(Table9712[[#This Row],[Result]]="C","n","")</f>
        <v>n</v>
      </c>
      <c r="I101" s="186"/>
    </row>
    <row r="102" spans="1:9" ht="15" customHeight="1" x14ac:dyDescent="0.25">
      <c r="A102" s="215"/>
      <c r="C102" s="33" t="s">
        <v>862</v>
      </c>
      <c r="D102" s="146" t="s">
        <v>614</v>
      </c>
      <c r="E102" s="84" t="s">
        <v>7</v>
      </c>
      <c r="F102" s="183" t="str">
        <f>IF(Table9712[[#This Row],[Result]]="NC","n","")</f>
        <v/>
      </c>
      <c r="G102" s="184" t="str">
        <f>IF(Table9712[[#This Row],[Result]]="pC","n","")</f>
        <v/>
      </c>
      <c r="H102" s="185" t="str">
        <f>IF(Table9712[[#This Row],[Result]]="C","n","")</f>
        <v>n</v>
      </c>
      <c r="I102" s="186"/>
    </row>
    <row r="103" spans="1:9" ht="15" customHeight="1" x14ac:dyDescent="0.25">
      <c r="A103" s="215"/>
      <c r="C103" s="33" t="s">
        <v>863</v>
      </c>
      <c r="D103" s="146" t="s">
        <v>615</v>
      </c>
      <c r="E103" s="84" t="s">
        <v>6</v>
      </c>
      <c r="F103" s="183" t="str">
        <f>IF(Table9712[[#This Row],[Result]]="NC","n","")</f>
        <v/>
      </c>
      <c r="G103" s="184" t="str">
        <f>IF(Table9712[[#This Row],[Result]]="pC","n","")</f>
        <v>n</v>
      </c>
      <c r="H103" s="185" t="str">
        <f>IF(Table9712[[#This Row],[Result]]="C","n","")</f>
        <v/>
      </c>
      <c r="I103" s="186"/>
    </row>
    <row r="104" spans="1:9" ht="15" customHeight="1" x14ac:dyDescent="0.25">
      <c r="A104" s="215"/>
      <c r="C104" s="33" t="s">
        <v>864</v>
      </c>
      <c r="D104" s="146" t="s">
        <v>616</v>
      </c>
      <c r="E104" s="84" t="s">
        <v>5</v>
      </c>
      <c r="F104" s="183" t="str">
        <f>IF(Table9712[[#This Row],[Result]]="NC","n","")</f>
        <v>n</v>
      </c>
      <c r="G104" s="184" t="str">
        <f>IF(Table9712[[#This Row],[Result]]="pC","n","")</f>
        <v/>
      </c>
      <c r="H104" s="185" t="str">
        <f>IF(Table9712[[#This Row],[Result]]="C","n","")</f>
        <v/>
      </c>
      <c r="I104" s="186"/>
    </row>
    <row r="105" spans="1:9" ht="15" customHeight="1" x14ac:dyDescent="0.25">
      <c r="A105" s="215"/>
      <c r="C105" s="33" t="s">
        <v>865</v>
      </c>
      <c r="D105" s="146" t="s">
        <v>617</v>
      </c>
      <c r="E105" s="84" t="s">
        <v>7</v>
      </c>
      <c r="F105" s="183" t="str">
        <f>IF(Table9712[[#This Row],[Result]]="NC","n","")</f>
        <v/>
      </c>
      <c r="G105" s="184" t="str">
        <f>IF(Table9712[[#This Row],[Result]]="pC","n","")</f>
        <v/>
      </c>
      <c r="H105" s="185" t="str">
        <f>IF(Table9712[[#This Row],[Result]]="C","n","")</f>
        <v>n</v>
      </c>
      <c r="I105" s="186"/>
    </row>
    <row r="106" spans="1:9" ht="15" customHeight="1" x14ac:dyDescent="0.25">
      <c r="A106" s="215" t="s">
        <v>764</v>
      </c>
      <c r="C106" s="33" t="s">
        <v>866</v>
      </c>
      <c r="D106" s="146" t="s">
        <v>756</v>
      </c>
      <c r="E106" s="84" t="s">
        <v>5</v>
      </c>
      <c r="F106" s="183" t="str">
        <f>IF(Table9712[[#This Row],[Result]]="NC","n","")</f>
        <v>n</v>
      </c>
      <c r="G106" s="184" t="str">
        <f>IF(Table9712[[#This Row],[Result]]="pC","n","")</f>
        <v/>
      </c>
      <c r="H106" s="185" t="str">
        <f>IF(Table9712[[#This Row],[Result]]="C","n","")</f>
        <v/>
      </c>
      <c r="I106" s="186"/>
    </row>
    <row r="107" spans="1:9" ht="15" customHeight="1" x14ac:dyDescent="0.25">
      <c r="A107" s="215"/>
      <c r="C107" s="33" t="s">
        <v>867</v>
      </c>
      <c r="D107" s="146" t="s">
        <v>757</v>
      </c>
      <c r="E107" s="84" t="s">
        <v>7</v>
      </c>
      <c r="F107" s="183" t="str">
        <f>IF(Table9712[[#This Row],[Result]]="NC","n","")</f>
        <v/>
      </c>
      <c r="G107" s="184" t="str">
        <f>IF(Table9712[[#This Row],[Result]]="pC","n","")</f>
        <v/>
      </c>
      <c r="H107" s="185" t="str">
        <f>IF(Table9712[[#This Row],[Result]]="C","n","")</f>
        <v>n</v>
      </c>
      <c r="I107" s="186"/>
    </row>
    <row r="108" spans="1:9" ht="15" customHeight="1" x14ac:dyDescent="0.25">
      <c r="A108" s="215"/>
      <c r="C108" s="33" t="s">
        <v>868</v>
      </c>
      <c r="D108" s="146" t="s">
        <v>758</v>
      </c>
      <c r="E108" s="84" t="s">
        <v>6</v>
      </c>
      <c r="F108" s="183" t="str">
        <f>IF(Table9712[[#This Row],[Result]]="NC","n","")</f>
        <v/>
      </c>
      <c r="G108" s="184" t="str">
        <f>IF(Table9712[[#This Row],[Result]]="pC","n","")</f>
        <v>n</v>
      </c>
      <c r="H108" s="185" t="str">
        <f>IF(Table9712[[#This Row],[Result]]="C","n","")</f>
        <v/>
      </c>
      <c r="I108" s="186"/>
    </row>
    <row r="109" spans="1:9" ht="15" customHeight="1" x14ac:dyDescent="0.25">
      <c r="A109" s="215"/>
      <c r="C109" s="33" t="s">
        <v>869</v>
      </c>
      <c r="D109" s="146" t="s">
        <v>759</v>
      </c>
      <c r="E109" s="67" t="s">
        <v>6</v>
      </c>
      <c r="F109" s="183" t="str">
        <f>IF(Table9712[[#This Row],[Result]]="NC","n","")</f>
        <v/>
      </c>
      <c r="G109" s="184" t="str">
        <f>IF(Table9712[[#This Row],[Result]]="pC","n","")</f>
        <v>n</v>
      </c>
      <c r="H109" s="185" t="str">
        <f>IF(Table9712[[#This Row],[Result]]="C","n","")</f>
        <v/>
      </c>
      <c r="I109" s="186"/>
    </row>
    <row r="110" spans="1:9" ht="15" customHeight="1" x14ac:dyDescent="0.25">
      <c r="A110" s="215"/>
      <c r="C110" s="33" t="s">
        <v>870</v>
      </c>
      <c r="D110" s="146" t="s">
        <v>760</v>
      </c>
      <c r="E110" s="84" t="s">
        <v>5</v>
      </c>
      <c r="F110" s="183" t="str">
        <f>IF(Table9712[[#This Row],[Result]]="NC","n","")</f>
        <v>n</v>
      </c>
      <c r="G110" s="184" t="str">
        <f>IF(Table9712[[#This Row],[Result]]="pC","n","")</f>
        <v/>
      </c>
      <c r="H110" s="185" t="str">
        <f>IF(Table9712[[#This Row],[Result]]="C","n","")</f>
        <v/>
      </c>
      <c r="I110" s="186"/>
    </row>
    <row r="111" spans="1:9" ht="15" customHeight="1" x14ac:dyDescent="0.25">
      <c r="A111" s="215"/>
      <c r="C111" s="33" t="s">
        <v>871</v>
      </c>
      <c r="D111" s="146" t="s">
        <v>761</v>
      </c>
      <c r="E111" s="84" t="s">
        <v>5</v>
      </c>
      <c r="F111" s="183" t="str">
        <f>IF(Table9712[[#This Row],[Result]]="NC","n","")</f>
        <v>n</v>
      </c>
      <c r="G111" s="184" t="str">
        <f>IF(Table9712[[#This Row],[Result]]="pC","n","")</f>
        <v/>
      </c>
      <c r="H111" s="185" t="str">
        <f>IF(Table9712[[#This Row],[Result]]="C","n","")</f>
        <v/>
      </c>
      <c r="I111" s="186"/>
    </row>
    <row r="112" spans="1:9" ht="15" customHeight="1" x14ac:dyDescent="0.25">
      <c r="A112" s="215"/>
      <c r="C112" s="33" t="s">
        <v>872</v>
      </c>
      <c r="D112" s="146" t="s">
        <v>762</v>
      </c>
      <c r="E112" s="84" t="s">
        <v>6</v>
      </c>
      <c r="F112" s="183" t="str">
        <f>IF(Table9712[[#This Row],[Result]]="NC","n","")</f>
        <v/>
      </c>
      <c r="G112" s="184" t="str">
        <f>IF(Table9712[[#This Row],[Result]]="pC","n","")</f>
        <v>n</v>
      </c>
      <c r="H112" s="185" t="str">
        <f>IF(Table9712[[#This Row],[Result]]="C","n","")</f>
        <v/>
      </c>
      <c r="I112" s="186"/>
    </row>
    <row r="113" spans="1:9" ht="15" customHeight="1" x14ac:dyDescent="0.25">
      <c r="A113" s="215"/>
      <c r="C113" s="33" t="s">
        <v>873</v>
      </c>
      <c r="D113" s="146" t="s">
        <v>763</v>
      </c>
      <c r="E113" s="84" t="s">
        <v>7</v>
      </c>
      <c r="F113" s="183" t="str">
        <f>IF(Table9712[[#This Row],[Result]]="NC","n","")</f>
        <v/>
      </c>
      <c r="G113" s="184" t="str">
        <f>IF(Table9712[[#This Row],[Result]]="pC","n","")</f>
        <v/>
      </c>
      <c r="H113" s="185" t="str">
        <f>IF(Table9712[[#This Row],[Result]]="C","n","")</f>
        <v>n</v>
      </c>
      <c r="I113" s="186"/>
    </row>
    <row r="114" spans="1:9" ht="15.75" thickBot="1" x14ac:dyDescent="0.3">
      <c r="D114" s="218" t="s">
        <v>257</v>
      </c>
      <c r="E114" s="218"/>
      <c r="F114" s="102">
        <f>COUNTIF(Table9712[NC],"n")</f>
        <v>24</v>
      </c>
      <c r="G114" s="103">
        <f>COUNTIF(Table9712[PC],"n")</f>
        <v>34</v>
      </c>
      <c r="H114" s="104">
        <f>COUNTIF(Table9712[C],"n")</f>
        <v>50</v>
      </c>
    </row>
    <row r="115" spans="1:9" ht="16.5" thickTop="1" thickBot="1" x14ac:dyDescent="0.3">
      <c r="D115" s="218" t="s">
        <v>258</v>
      </c>
      <c r="E115" s="218"/>
      <c r="F115" s="105">
        <f>F114*0</f>
        <v>0</v>
      </c>
      <c r="G115" s="106">
        <f>G114*1</f>
        <v>34</v>
      </c>
      <c r="H115" s="107">
        <f>H114*3</f>
        <v>150</v>
      </c>
    </row>
    <row r="116" spans="1:9" x14ac:dyDescent="0.25">
      <c r="D116" s="218" t="s">
        <v>1</v>
      </c>
      <c r="E116" s="218"/>
      <c r="F116" s="101">
        <f>SUM(F115:H115)</f>
        <v>184</v>
      </c>
      <c r="G116" s="108" t="s">
        <v>765</v>
      </c>
      <c r="H116" s="101"/>
    </row>
  </sheetData>
  <sheetProtection algorithmName="SHA-512" hashValue="T9Byy6SkbxDlclW/rt4CyZXc1dEHdu9iJOnRPt2lyoxbVW6X1aiWr9r9JUko6ub9xmRDXxQX+q8Txo5my0Y7QA==" saltValue="Wk2gllos+daie3jLI0Niog==" spinCount="100000" sheet="1" objects="1" scenarios="1" selectLockedCells="1"/>
  <mergeCells count="15">
    <mergeCell ref="D2:H3"/>
    <mergeCell ref="D114:E114"/>
    <mergeCell ref="D115:E115"/>
    <mergeCell ref="A98:A105"/>
    <mergeCell ref="A106:A113"/>
    <mergeCell ref="D116:E116"/>
    <mergeCell ref="A6:A15"/>
    <mergeCell ref="A16:A32"/>
    <mergeCell ref="A33:A39"/>
    <mergeCell ref="A40:A55"/>
    <mergeCell ref="A56:A62"/>
    <mergeCell ref="A63:A68"/>
    <mergeCell ref="A69:A76"/>
    <mergeCell ref="A77:A92"/>
    <mergeCell ref="A93:A97"/>
  </mergeCells>
  <dataValidations count="1">
    <dataValidation type="list" allowBlank="1" showInputMessage="1" showErrorMessage="1" prompt="Please enter either NC for a Non Conformance, PC for a Partial Conformance or C for a Conformance" sqref="E6:E113">
      <formula1>Result</formula1>
    </dataValidation>
  </dataValidations>
  <pageMargins left="0.7" right="0.7" top="0.75" bottom="0.75" header="0.3" footer="0.3"/>
  <drawing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98"/>
  <sheetViews>
    <sheetView showGridLines="0" zoomScale="80" zoomScaleNormal="80" workbookViewId="0">
      <selection activeCell="F26" sqref="F26"/>
    </sheetView>
  </sheetViews>
  <sheetFormatPr defaultRowHeight="15" x14ac:dyDescent="0.25"/>
  <cols>
    <col min="1" max="1" width="11.5703125" customWidth="1"/>
    <col min="2" max="2" width="35" bestFit="1" customWidth="1"/>
    <col min="3" max="3" width="8.7109375" customWidth="1"/>
    <col min="4" max="4" width="8.7109375" bestFit="1" customWidth="1"/>
    <col min="5" max="7" width="12.7109375" customWidth="1"/>
    <col min="8" max="8" width="3.28515625" customWidth="1"/>
    <col min="9" max="9" width="2.140625" customWidth="1"/>
    <col min="10" max="10" width="14.140625" customWidth="1"/>
  </cols>
  <sheetData>
    <row r="2" spans="2:10" ht="15" customHeight="1" x14ac:dyDescent="0.25">
      <c r="B2" s="197" t="s">
        <v>241</v>
      </c>
      <c r="C2" s="197"/>
      <c r="D2" s="197"/>
      <c r="E2" s="197"/>
      <c r="F2" s="197"/>
      <c r="G2" s="197"/>
      <c r="H2" s="197"/>
      <c r="I2" s="170"/>
      <c r="J2" s="170"/>
    </row>
    <row r="3" spans="2:10" ht="15" customHeight="1" x14ac:dyDescent="0.25">
      <c r="B3" s="197"/>
      <c r="C3" s="197"/>
      <c r="D3" s="197"/>
      <c r="E3" s="197"/>
      <c r="F3" s="197"/>
      <c r="G3" s="197"/>
      <c r="H3" s="197"/>
      <c r="I3" s="170"/>
      <c r="J3" s="170"/>
    </row>
    <row r="4" spans="2:10" ht="16.5" customHeight="1" x14ac:dyDescent="0.3">
      <c r="B4" s="198" t="s">
        <v>501</v>
      </c>
      <c r="C4" s="198"/>
      <c r="D4" s="198"/>
      <c r="E4" s="198"/>
      <c r="F4" s="198"/>
      <c r="G4" s="198"/>
      <c r="I4" s="4"/>
    </row>
    <row r="5" spans="2:10" x14ac:dyDescent="0.25">
      <c r="B5" s="15" t="s">
        <v>2</v>
      </c>
      <c r="C5" s="9" t="s">
        <v>1</v>
      </c>
      <c r="D5" s="9" t="s">
        <v>266</v>
      </c>
      <c r="E5" s="16" t="s">
        <v>515</v>
      </c>
      <c r="F5" s="9" t="s">
        <v>513</v>
      </c>
      <c r="G5" s="16" t="s">
        <v>514</v>
      </c>
    </row>
    <row r="6" spans="2:10" x14ac:dyDescent="0.25">
      <c r="B6" s="166" t="s">
        <v>3</v>
      </c>
      <c r="C6" s="10">
        <f>('1. Safety'!F22)</f>
        <v>27</v>
      </c>
      <c r="D6" s="10">
        <v>42</v>
      </c>
      <c r="E6" s="167">
        <f t="shared" ref="E6:E17" si="0">C6/D6</f>
        <v>0.6428571428571429</v>
      </c>
      <c r="F6" s="188">
        <v>0.45</v>
      </c>
      <c r="G6" s="192">
        <v>0.28999999999999998</v>
      </c>
    </row>
    <row r="7" spans="2:10" x14ac:dyDescent="0.25">
      <c r="B7" s="166" t="s">
        <v>259</v>
      </c>
      <c r="C7" s="10">
        <f>('2. Maintenance Strategy'!F59)</f>
        <v>88</v>
      </c>
      <c r="D7" s="10">
        <v>150</v>
      </c>
      <c r="E7" s="167">
        <f t="shared" si="0"/>
        <v>0.58666666666666667</v>
      </c>
      <c r="F7" s="188">
        <v>0.32</v>
      </c>
      <c r="G7" s="192">
        <v>0.13</v>
      </c>
    </row>
    <row r="8" spans="2:10" x14ac:dyDescent="0.25">
      <c r="B8" s="166" t="s">
        <v>504</v>
      </c>
      <c r="C8" s="10">
        <f>('3. PM Strategy'!F27)</f>
        <v>28</v>
      </c>
      <c r="D8" s="10">
        <v>57</v>
      </c>
      <c r="E8" s="167">
        <f t="shared" si="0"/>
        <v>0.49122807017543857</v>
      </c>
      <c r="F8" s="188">
        <v>0.5</v>
      </c>
      <c r="G8" s="192">
        <v>0.36</v>
      </c>
    </row>
    <row r="9" spans="2:10" x14ac:dyDescent="0.25">
      <c r="B9" s="166" t="s">
        <v>260</v>
      </c>
      <c r="C9" s="10">
        <f>('4. Shutdown Strategy'!F23)</f>
        <v>29</v>
      </c>
      <c r="D9" s="10">
        <v>45</v>
      </c>
      <c r="E9" s="167">
        <f t="shared" si="0"/>
        <v>0.64444444444444449</v>
      </c>
      <c r="F9" s="188">
        <v>0.24</v>
      </c>
      <c r="G9" s="192">
        <v>0.31</v>
      </c>
    </row>
    <row r="10" spans="2:10" x14ac:dyDescent="0.25">
      <c r="B10" s="166" t="s">
        <v>261</v>
      </c>
      <c r="C10" s="10">
        <f>('5. Breakdown Strategy'!F19)</f>
        <v>22</v>
      </c>
      <c r="D10" s="10">
        <v>33</v>
      </c>
      <c r="E10" s="167">
        <f t="shared" si="0"/>
        <v>0.66666666666666663</v>
      </c>
      <c r="F10" s="188">
        <v>0.65</v>
      </c>
      <c r="G10" s="192">
        <v>0.48</v>
      </c>
    </row>
    <row r="11" spans="2:10" x14ac:dyDescent="0.25">
      <c r="B11" s="166" t="s">
        <v>262</v>
      </c>
      <c r="C11" s="10">
        <f>('6. Sustainability'!F40)</f>
        <v>55</v>
      </c>
      <c r="D11" s="10">
        <v>96</v>
      </c>
      <c r="E11" s="167">
        <f t="shared" si="0"/>
        <v>0.57291666666666663</v>
      </c>
      <c r="F11" s="188">
        <v>0.26</v>
      </c>
      <c r="G11" s="192">
        <v>0.23</v>
      </c>
    </row>
    <row r="12" spans="2:10" x14ac:dyDescent="0.25">
      <c r="B12" s="166" t="s">
        <v>505</v>
      </c>
      <c r="C12" s="10">
        <f>'7. WO Strategy'!F17</f>
        <v>16</v>
      </c>
      <c r="D12" s="10">
        <v>27</v>
      </c>
      <c r="E12" s="167">
        <f t="shared" si="0"/>
        <v>0.59259259259259256</v>
      </c>
      <c r="F12" s="188">
        <v>0.36</v>
      </c>
      <c r="G12" s="192">
        <v>0.28999999999999998</v>
      </c>
    </row>
    <row r="13" spans="2:10" x14ac:dyDescent="0.25">
      <c r="B13" s="166" t="s">
        <v>263</v>
      </c>
      <c r="C13" s="10">
        <f>'8. Inventory Strategy'!F21</f>
        <v>26</v>
      </c>
      <c r="D13" s="10">
        <v>39</v>
      </c>
      <c r="E13" s="167">
        <f t="shared" si="0"/>
        <v>0.66666666666666663</v>
      </c>
      <c r="F13" s="188">
        <v>0.57999999999999996</v>
      </c>
      <c r="G13" s="192">
        <v>0.52</v>
      </c>
    </row>
    <row r="14" spans="2:10" x14ac:dyDescent="0.25">
      <c r="B14" s="166" t="s">
        <v>264</v>
      </c>
      <c r="C14" s="10">
        <f>'9. Tyre Strategy'!F39</f>
        <v>55</v>
      </c>
      <c r="D14" s="10">
        <v>93</v>
      </c>
      <c r="E14" s="167">
        <f t="shared" si="0"/>
        <v>0.59139784946236562</v>
      </c>
      <c r="F14" s="188">
        <v>0.62</v>
      </c>
      <c r="G14" s="192">
        <v>0.48</v>
      </c>
    </row>
    <row r="15" spans="2:10" x14ac:dyDescent="0.25">
      <c r="B15" s="168" t="s">
        <v>265</v>
      </c>
      <c r="C15" s="11">
        <f>'10. Workshop Condition'!F24</f>
        <v>26</v>
      </c>
      <c r="D15" s="11">
        <v>48</v>
      </c>
      <c r="E15" s="169">
        <f t="shared" si="0"/>
        <v>0.54166666666666663</v>
      </c>
      <c r="F15" s="188">
        <v>0.76</v>
      </c>
      <c r="G15" s="192">
        <v>0.54</v>
      </c>
    </row>
    <row r="16" spans="2:10" x14ac:dyDescent="0.25">
      <c r="B16" s="168" t="s">
        <v>629</v>
      </c>
      <c r="C16" s="11">
        <f>'11. Plant Condition Dig Unit'!F110</f>
        <v>163</v>
      </c>
      <c r="D16" s="11">
        <v>306</v>
      </c>
      <c r="E16" s="169">
        <f t="shared" si="0"/>
        <v>0.5326797385620915</v>
      </c>
      <c r="F16" s="189">
        <v>0.87</v>
      </c>
      <c r="G16" s="193">
        <v>0.68</v>
      </c>
    </row>
    <row r="17" spans="1:9" x14ac:dyDescent="0.25">
      <c r="B17" s="168" t="s">
        <v>874</v>
      </c>
      <c r="C17" s="11">
        <f>'12. Plant Condition Haul Unit'!F116</f>
        <v>184</v>
      </c>
      <c r="D17" s="11">
        <v>324</v>
      </c>
      <c r="E17" s="169">
        <f t="shared" si="0"/>
        <v>0.5679012345679012</v>
      </c>
      <c r="F17" s="189">
        <v>0.68</v>
      </c>
      <c r="G17" s="193">
        <v>0.45</v>
      </c>
    </row>
    <row r="18" spans="1:9" ht="5.25" customHeight="1" x14ac:dyDescent="0.25">
      <c r="B18" s="187"/>
      <c r="C18" s="175"/>
      <c r="D18" s="175"/>
      <c r="E18" s="181"/>
      <c r="F18" s="181"/>
      <c r="G18" s="181"/>
    </row>
    <row r="19" spans="1:9" ht="18.75" x14ac:dyDescent="0.3">
      <c r="A19" s="173"/>
      <c r="B19" s="180" t="s">
        <v>512</v>
      </c>
      <c r="C19" s="177">
        <f>SUM(Table5[Score])</f>
        <v>719</v>
      </c>
      <c r="D19" s="178" t="s">
        <v>875</v>
      </c>
      <c r="E19" s="179">
        <f>(C19/1260)</f>
        <v>0.57063492063492061</v>
      </c>
      <c r="F19" s="179">
        <f>SUM(Table5[2014])/12</f>
        <v>0.52416666666666667</v>
      </c>
      <c r="G19" s="179">
        <f>SUM(Table5[2013])/12</f>
        <v>0.39666666666666667</v>
      </c>
      <c r="H19" s="173"/>
      <c r="I19" s="173"/>
    </row>
    <row r="20" spans="1:9" ht="15" customHeight="1" x14ac:dyDescent="0.25">
      <c r="A20" s="173"/>
      <c r="B20" s="174"/>
      <c r="C20" s="174"/>
      <c r="D20" s="174"/>
      <c r="E20" s="175"/>
      <c r="F20" s="175"/>
      <c r="G20" s="175"/>
      <c r="H20" s="173"/>
      <c r="I20" s="173"/>
    </row>
    <row r="21" spans="1:9" x14ac:dyDescent="0.25">
      <c r="A21" s="173"/>
      <c r="B21" s="176"/>
      <c r="C21" s="173"/>
      <c r="D21" s="173"/>
      <c r="E21" s="173"/>
      <c r="F21" s="173"/>
      <c r="G21" s="173"/>
      <c r="H21" s="173"/>
      <c r="I21" s="173"/>
    </row>
    <row r="22" spans="1:9" x14ac:dyDescent="0.25">
      <c r="A22" s="173"/>
      <c r="B22" s="176"/>
      <c r="C22" s="173"/>
      <c r="D22" s="173"/>
      <c r="E22" s="173"/>
      <c r="F22" s="173"/>
      <c r="G22" s="173"/>
      <c r="H22" s="173"/>
      <c r="I22" s="173"/>
    </row>
    <row r="23" spans="1:9" x14ac:dyDescent="0.25">
      <c r="A23" s="173"/>
      <c r="B23" s="176"/>
      <c r="C23" s="173"/>
      <c r="D23" s="173"/>
      <c r="E23" s="173"/>
      <c r="F23" s="173"/>
      <c r="G23" s="173"/>
      <c r="H23" s="173"/>
      <c r="I23" s="173"/>
    </row>
    <row r="24" spans="1:9" x14ac:dyDescent="0.25">
      <c r="A24" s="173"/>
      <c r="B24" s="176"/>
      <c r="C24" s="173"/>
      <c r="D24" s="173"/>
      <c r="E24" s="173"/>
      <c r="F24" s="173"/>
      <c r="G24" s="173"/>
      <c r="H24" s="173"/>
      <c r="I24" s="173"/>
    </row>
    <row r="25" spans="1:9" x14ac:dyDescent="0.25">
      <c r="A25" s="173"/>
      <c r="B25" s="176"/>
      <c r="C25" s="173"/>
      <c r="D25" s="173"/>
      <c r="E25" s="173"/>
      <c r="F25" s="173"/>
      <c r="G25" s="173"/>
      <c r="H25" s="173"/>
      <c r="I25" s="173"/>
    </row>
    <row r="26" spans="1:9" x14ac:dyDescent="0.25">
      <c r="A26" s="173"/>
      <c r="B26" s="176"/>
      <c r="C26" s="173"/>
      <c r="D26" s="173"/>
      <c r="E26" s="173"/>
      <c r="F26" s="173"/>
      <c r="G26" s="173"/>
      <c r="H26" s="173"/>
      <c r="I26" s="173"/>
    </row>
    <row r="27" spans="1:9" ht="18.75" x14ac:dyDescent="0.3">
      <c r="A27" s="173"/>
      <c r="B27" s="198"/>
      <c r="C27" s="198"/>
      <c r="D27" s="198"/>
      <c r="E27" s="198"/>
      <c r="F27" s="172"/>
      <c r="G27" s="172"/>
      <c r="H27" s="173"/>
      <c r="I27" s="173"/>
    </row>
    <row r="28" spans="1:9" x14ac:dyDescent="0.25">
      <c r="A28" s="173"/>
      <c r="B28" s="174"/>
      <c r="C28" s="174"/>
      <c r="D28" s="174"/>
      <c r="E28" s="175"/>
      <c r="F28" s="175"/>
      <c r="G28" s="175"/>
      <c r="H28" s="173"/>
      <c r="I28" s="173"/>
    </row>
    <row r="29" spans="1:9" x14ac:dyDescent="0.25">
      <c r="A29" s="173"/>
      <c r="B29" s="176"/>
      <c r="C29" s="173"/>
      <c r="D29" s="173"/>
      <c r="E29" s="173"/>
      <c r="F29" s="173"/>
      <c r="G29" s="173"/>
      <c r="H29" s="173"/>
      <c r="I29" s="173"/>
    </row>
    <row r="30" spans="1:9" x14ac:dyDescent="0.25">
      <c r="A30" s="173"/>
      <c r="B30" s="176"/>
      <c r="C30" s="173"/>
      <c r="D30" s="173"/>
      <c r="E30" s="173"/>
      <c r="F30" s="173"/>
      <c r="G30" s="173"/>
      <c r="H30" s="173"/>
      <c r="I30" s="173"/>
    </row>
    <row r="31" spans="1:9" x14ac:dyDescent="0.25">
      <c r="A31" s="173"/>
      <c r="B31" s="176"/>
      <c r="C31" s="173"/>
      <c r="D31" s="173"/>
      <c r="E31" s="173"/>
      <c r="F31" s="173"/>
      <c r="G31" s="173"/>
      <c r="H31" s="173"/>
      <c r="I31" s="173"/>
    </row>
    <row r="32" spans="1:9" x14ac:dyDescent="0.25">
      <c r="A32" s="173"/>
      <c r="B32" s="176"/>
      <c r="C32" s="173"/>
      <c r="D32" s="173"/>
      <c r="E32" s="173"/>
      <c r="F32" s="173"/>
      <c r="G32" s="173"/>
      <c r="H32" s="173"/>
      <c r="I32" s="173"/>
    </row>
    <row r="33" spans="1:9" x14ac:dyDescent="0.25">
      <c r="A33" s="173"/>
      <c r="B33" s="176"/>
      <c r="C33" s="173"/>
      <c r="D33" s="173"/>
      <c r="E33" s="173"/>
      <c r="F33" s="173"/>
      <c r="G33" s="173"/>
      <c r="H33" s="173"/>
      <c r="I33" s="173"/>
    </row>
    <row r="34" spans="1:9" x14ac:dyDescent="0.25">
      <c r="A34" s="173"/>
      <c r="B34" s="173"/>
      <c r="C34" s="173"/>
      <c r="D34" s="173"/>
      <c r="E34" s="173"/>
      <c r="F34" s="173"/>
      <c r="G34" s="173"/>
      <c r="H34" s="173"/>
      <c r="I34" s="173"/>
    </row>
    <row r="35" spans="1:9" ht="18.75" x14ac:dyDescent="0.3">
      <c r="A35" s="173"/>
      <c r="B35" s="198"/>
      <c r="C35" s="198"/>
      <c r="D35" s="198"/>
      <c r="E35" s="198"/>
      <c r="F35" s="172"/>
      <c r="G35" s="172"/>
      <c r="H35" s="173"/>
      <c r="I35" s="173"/>
    </row>
    <row r="36" spans="1:9" x14ac:dyDescent="0.25">
      <c r="A36" s="173"/>
      <c r="B36" s="174"/>
      <c r="C36" s="174"/>
      <c r="D36" s="174"/>
      <c r="E36" s="175"/>
      <c r="F36" s="175"/>
      <c r="G36" s="175"/>
      <c r="H36" s="173"/>
      <c r="I36" s="173"/>
    </row>
    <row r="37" spans="1:9" x14ac:dyDescent="0.25">
      <c r="A37" s="173"/>
      <c r="B37" s="176"/>
      <c r="C37" s="173"/>
      <c r="D37" s="173"/>
      <c r="E37" s="173"/>
      <c r="F37" s="173"/>
      <c r="G37" s="173"/>
      <c r="H37" s="173"/>
      <c r="I37" s="173"/>
    </row>
    <row r="38" spans="1:9" x14ac:dyDescent="0.25">
      <c r="A38" s="173"/>
      <c r="B38" s="176"/>
      <c r="C38" s="173"/>
      <c r="D38" s="173"/>
      <c r="E38" s="173"/>
      <c r="F38" s="173"/>
      <c r="G38" s="173"/>
      <c r="H38" s="173"/>
      <c r="I38" s="173"/>
    </row>
    <row r="39" spans="1:9" x14ac:dyDescent="0.25">
      <c r="A39" s="173"/>
      <c r="B39" s="176"/>
      <c r="C39" s="173"/>
      <c r="D39" s="173"/>
      <c r="E39" s="173"/>
      <c r="F39" s="173"/>
      <c r="G39" s="173"/>
      <c r="H39" s="173"/>
      <c r="I39" s="173"/>
    </row>
    <row r="40" spans="1:9" x14ac:dyDescent="0.25">
      <c r="A40" s="173"/>
      <c r="B40" s="176"/>
      <c r="C40" s="173"/>
      <c r="D40" s="173"/>
      <c r="E40" s="173"/>
      <c r="F40" s="173"/>
      <c r="G40" s="173"/>
      <c r="H40" s="173"/>
      <c r="I40" s="173"/>
    </row>
    <row r="41" spans="1:9" x14ac:dyDescent="0.25">
      <c r="A41" s="173"/>
      <c r="B41" s="176"/>
      <c r="C41" s="173"/>
      <c r="D41" s="173"/>
      <c r="E41" s="173"/>
      <c r="F41" s="173"/>
      <c r="G41" s="173"/>
      <c r="H41" s="173"/>
      <c r="I41" s="173"/>
    </row>
    <row r="42" spans="1:9" x14ac:dyDescent="0.25">
      <c r="A42" s="173"/>
      <c r="B42" s="173"/>
      <c r="C42" s="173"/>
      <c r="D42" s="173"/>
      <c r="E42" s="173"/>
      <c r="F42" s="173"/>
      <c r="G42" s="173"/>
      <c r="H42" s="173"/>
      <c r="I42" s="173"/>
    </row>
    <row r="43" spans="1:9" ht="18.75" x14ac:dyDescent="0.3">
      <c r="A43" s="173"/>
      <c r="B43" s="198"/>
      <c r="C43" s="198"/>
      <c r="D43" s="198"/>
      <c r="E43" s="198"/>
      <c r="F43" s="172"/>
      <c r="G43" s="172"/>
      <c r="H43" s="173"/>
      <c r="I43" s="173"/>
    </row>
    <row r="44" spans="1:9" x14ac:dyDescent="0.25">
      <c r="A44" s="173"/>
      <c r="B44" s="174"/>
      <c r="C44" s="174"/>
      <c r="D44" s="174"/>
      <c r="E44" s="175"/>
      <c r="F44" s="175"/>
      <c r="G44" s="175"/>
      <c r="H44" s="173"/>
      <c r="I44" s="173"/>
    </row>
    <row r="45" spans="1:9" x14ac:dyDescent="0.25">
      <c r="A45" s="173"/>
      <c r="B45" s="176"/>
      <c r="C45" s="173"/>
      <c r="D45" s="173"/>
      <c r="E45" s="173"/>
      <c r="F45" s="173"/>
      <c r="G45" s="173"/>
      <c r="H45" s="173"/>
      <c r="I45" s="173"/>
    </row>
    <row r="46" spans="1:9" x14ac:dyDescent="0.25">
      <c r="A46" s="173"/>
      <c r="B46" s="176"/>
      <c r="C46" s="173"/>
      <c r="D46" s="173"/>
      <c r="E46" s="173"/>
      <c r="F46" s="173"/>
      <c r="G46" s="173"/>
      <c r="H46" s="173"/>
      <c r="I46" s="173"/>
    </row>
    <row r="47" spans="1:9" x14ac:dyDescent="0.25">
      <c r="A47" s="173"/>
      <c r="B47" s="176"/>
      <c r="C47" s="173"/>
      <c r="D47" s="173"/>
      <c r="E47" s="173"/>
      <c r="F47" s="173"/>
      <c r="G47" s="173"/>
      <c r="H47" s="173"/>
      <c r="I47" s="173"/>
    </row>
    <row r="48" spans="1:9" x14ac:dyDescent="0.25">
      <c r="A48" s="173"/>
      <c r="B48" s="176"/>
      <c r="C48" s="173"/>
      <c r="D48" s="173"/>
      <c r="E48" s="173"/>
      <c r="F48" s="173"/>
      <c r="G48" s="173"/>
      <c r="H48" s="173"/>
      <c r="I48" s="173"/>
    </row>
    <row r="49" spans="1:9" x14ac:dyDescent="0.25">
      <c r="A49" s="173"/>
      <c r="B49" s="176"/>
      <c r="C49" s="173"/>
      <c r="D49" s="173"/>
      <c r="E49" s="173"/>
      <c r="F49" s="173"/>
      <c r="G49" s="173"/>
      <c r="H49" s="173"/>
      <c r="I49" s="173"/>
    </row>
    <row r="50" spans="1:9" x14ac:dyDescent="0.25">
      <c r="A50" s="173"/>
      <c r="B50" s="173"/>
      <c r="C50" s="173"/>
      <c r="D50" s="173"/>
      <c r="E50" s="173"/>
      <c r="F50" s="173"/>
      <c r="G50" s="173"/>
      <c r="H50" s="173"/>
      <c r="I50" s="173"/>
    </row>
    <row r="51" spans="1:9" ht="18.75" x14ac:dyDescent="0.3">
      <c r="A51" s="173"/>
      <c r="B51" s="198"/>
      <c r="C51" s="198"/>
      <c r="D51" s="198"/>
      <c r="E51" s="198"/>
      <c r="F51" s="172"/>
      <c r="G51" s="172"/>
      <c r="H51" s="173"/>
      <c r="I51" s="173"/>
    </row>
    <row r="52" spans="1:9" x14ac:dyDescent="0.25">
      <c r="A52" s="173"/>
      <c r="B52" s="174"/>
      <c r="C52" s="174"/>
      <c r="D52" s="174"/>
      <c r="E52" s="175"/>
      <c r="F52" s="175"/>
      <c r="G52" s="175"/>
      <c r="H52" s="173"/>
      <c r="I52" s="173"/>
    </row>
    <row r="53" spans="1:9" x14ac:dyDescent="0.25">
      <c r="A53" s="173"/>
      <c r="B53" s="176"/>
      <c r="C53" s="173"/>
      <c r="D53" s="173"/>
      <c r="E53" s="173"/>
      <c r="F53" s="173"/>
      <c r="G53" s="173"/>
      <c r="H53" s="173"/>
      <c r="I53" s="173"/>
    </row>
    <row r="54" spans="1:9" x14ac:dyDescent="0.25">
      <c r="A54" s="173"/>
      <c r="B54" s="176"/>
      <c r="C54" s="173"/>
      <c r="D54" s="173"/>
      <c r="E54" s="173"/>
      <c r="F54" s="173"/>
      <c r="G54" s="173"/>
      <c r="H54" s="173"/>
      <c r="I54" s="173"/>
    </row>
    <row r="55" spans="1:9" x14ac:dyDescent="0.25">
      <c r="A55" s="173"/>
      <c r="B55" s="176"/>
      <c r="C55" s="173"/>
      <c r="D55" s="173"/>
      <c r="E55" s="173"/>
      <c r="F55" s="173"/>
      <c r="G55" s="173"/>
      <c r="H55" s="173"/>
      <c r="I55" s="173"/>
    </row>
    <row r="56" spans="1:9" x14ac:dyDescent="0.25">
      <c r="A56" s="173"/>
      <c r="B56" s="176"/>
      <c r="C56" s="173"/>
      <c r="D56" s="173"/>
      <c r="E56" s="173"/>
      <c r="F56" s="173"/>
      <c r="G56" s="173"/>
      <c r="H56" s="173"/>
      <c r="I56" s="173"/>
    </row>
    <row r="57" spans="1:9" x14ac:dyDescent="0.25">
      <c r="A57" s="173"/>
      <c r="B57" s="176"/>
      <c r="C57" s="173"/>
      <c r="D57" s="173"/>
      <c r="E57" s="173"/>
      <c r="F57" s="173"/>
      <c r="G57" s="173"/>
      <c r="H57" s="173"/>
      <c r="I57" s="173"/>
    </row>
    <row r="58" spans="1:9" x14ac:dyDescent="0.25">
      <c r="A58" s="173"/>
      <c r="B58" s="173"/>
      <c r="C58" s="173"/>
      <c r="D58" s="173"/>
      <c r="E58" s="173"/>
      <c r="F58" s="173"/>
      <c r="G58" s="173"/>
      <c r="H58" s="173"/>
      <c r="I58" s="173"/>
    </row>
    <row r="59" spans="1:9" ht="18.75" x14ac:dyDescent="0.3">
      <c r="A59" s="173"/>
      <c r="B59" s="198"/>
      <c r="C59" s="198"/>
      <c r="D59" s="198"/>
      <c r="E59" s="198"/>
      <c r="F59" s="172"/>
      <c r="G59" s="172"/>
      <c r="H59" s="173"/>
      <c r="I59" s="173"/>
    </row>
    <row r="60" spans="1:9" x14ac:dyDescent="0.25">
      <c r="A60" s="173"/>
      <c r="B60" s="174"/>
      <c r="C60" s="174"/>
      <c r="D60" s="174"/>
      <c r="E60" s="175"/>
      <c r="F60" s="175"/>
      <c r="G60" s="175"/>
      <c r="H60" s="173"/>
      <c r="I60" s="173"/>
    </row>
    <row r="61" spans="1:9" x14ac:dyDescent="0.25">
      <c r="A61" s="173"/>
      <c r="B61" s="176"/>
      <c r="C61" s="173"/>
      <c r="D61" s="173"/>
      <c r="E61" s="173"/>
      <c r="F61" s="173"/>
      <c r="G61" s="173"/>
      <c r="H61" s="173"/>
      <c r="I61" s="173"/>
    </row>
    <row r="62" spans="1:9" x14ac:dyDescent="0.25">
      <c r="A62" s="173"/>
      <c r="B62" s="176"/>
      <c r="C62" s="173"/>
      <c r="D62" s="173"/>
      <c r="E62" s="173"/>
      <c r="F62" s="173"/>
      <c r="G62" s="173"/>
      <c r="H62" s="173"/>
      <c r="I62" s="173"/>
    </row>
    <row r="63" spans="1:9" x14ac:dyDescent="0.25">
      <c r="A63" s="173"/>
      <c r="B63" s="176"/>
      <c r="C63" s="173"/>
      <c r="D63" s="173"/>
      <c r="E63" s="173"/>
      <c r="F63" s="173"/>
      <c r="G63" s="173"/>
      <c r="H63" s="173"/>
      <c r="I63" s="173"/>
    </row>
    <row r="64" spans="1:9" x14ac:dyDescent="0.25">
      <c r="A64" s="173"/>
      <c r="B64" s="176"/>
      <c r="C64" s="173"/>
      <c r="D64" s="173"/>
      <c r="E64" s="173"/>
      <c r="F64" s="173"/>
      <c r="G64" s="173"/>
      <c r="H64" s="173"/>
      <c r="I64" s="173"/>
    </row>
    <row r="65" spans="1:9" x14ac:dyDescent="0.25">
      <c r="A65" s="173"/>
      <c r="B65" s="176"/>
      <c r="C65" s="173"/>
      <c r="D65" s="173"/>
      <c r="E65" s="173"/>
      <c r="F65" s="173"/>
      <c r="G65" s="173"/>
      <c r="H65" s="173"/>
      <c r="I65" s="173"/>
    </row>
    <row r="66" spans="1:9" x14ac:dyDescent="0.25">
      <c r="A66" s="173"/>
      <c r="B66" s="173"/>
      <c r="C66" s="173"/>
      <c r="D66" s="173"/>
      <c r="E66" s="173"/>
      <c r="F66" s="173"/>
      <c r="G66" s="173"/>
      <c r="H66" s="173"/>
      <c r="I66" s="173"/>
    </row>
    <row r="67" spans="1:9" ht="18.75" x14ac:dyDescent="0.3">
      <c r="A67" s="173"/>
      <c r="B67" s="198"/>
      <c r="C67" s="198"/>
      <c r="D67" s="198"/>
      <c r="E67" s="198"/>
      <c r="F67" s="172"/>
      <c r="G67" s="172"/>
      <c r="H67" s="173"/>
      <c r="I67" s="173"/>
    </row>
    <row r="68" spans="1:9" x14ac:dyDescent="0.25">
      <c r="A68" s="173"/>
      <c r="B68" s="174"/>
      <c r="C68" s="174"/>
      <c r="D68" s="174"/>
      <c r="E68" s="175"/>
      <c r="F68" s="175"/>
      <c r="G68" s="175"/>
      <c r="H68" s="173"/>
      <c r="I68" s="173"/>
    </row>
    <row r="69" spans="1:9" x14ac:dyDescent="0.25">
      <c r="A69" s="173"/>
      <c r="B69" s="176"/>
      <c r="C69" s="173"/>
      <c r="D69" s="173"/>
      <c r="E69" s="173"/>
      <c r="F69" s="173"/>
      <c r="G69" s="173"/>
      <c r="H69" s="173"/>
      <c r="I69" s="173"/>
    </row>
    <row r="70" spans="1:9" x14ac:dyDescent="0.25">
      <c r="A70" s="173"/>
      <c r="B70" s="176"/>
      <c r="C70" s="173"/>
      <c r="D70" s="173"/>
      <c r="E70" s="173"/>
      <c r="F70" s="173"/>
      <c r="G70" s="173"/>
      <c r="H70" s="173"/>
      <c r="I70" s="173"/>
    </row>
    <row r="71" spans="1:9" x14ac:dyDescent="0.25">
      <c r="A71" s="173"/>
      <c r="B71" s="176"/>
      <c r="C71" s="173"/>
      <c r="D71" s="173"/>
      <c r="E71" s="173"/>
      <c r="F71" s="173"/>
      <c r="G71" s="173"/>
      <c r="H71" s="173"/>
      <c r="I71" s="173"/>
    </row>
    <row r="72" spans="1:9" x14ac:dyDescent="0.25">
      <c r="A72" s="173"/>
      <c r="B72" s="176"/>
      <c r="C72" s="173"/>
      <c r="D72" s="173"/>
      <c r="E72" s="173"/>
      <c r="F72" s="173"/>
      <c r="G72" s="173"/>
      <c r="H72" s="173"/>
      <c r="I72" s="173"/>
    </row>
    <row r="73" spans="1:9" x14ac:dyDescent="0.25">
      <c r="A73" s="173"/>
      <c r="B73" s="176"/>
      <c r="C73" s="173"/>
      <c r="D73" s="173"/>
      <c r="E73" s="173"/>
      <c r="F73" s="173"/>
      <c r="G73" s="173"/>
      <c r="H73" s="173"/>
      <c r="I73" s="173"/>
    </row>
    <row r="74" spans="1:9" x14ac:dyDescent="0.25">
      <c r="A74" s="173"/>
      <c r="B74" s="173"/>
      <c r="C74" s="173"/>
      <c r="D74" s="173"/>
      <c r="E74" s="173"/>
      <c r="F74" s="173"/>
      <c r="G74" s="173"/>
      <c r="H74" s="173"/>
      <c r="I74" s="173"/>
    </row>
    <row r="75" spans="1:9" ht="18.75" x14ac:dyDescent="0.3">
      <c r="A75" s="173"/>
      <c r="B75" s="198"/>
      <c r="C75" s="198"/>
      <c r="D75" s="198"/>
      <c r="E75" s="198"/>
      <c r="F75" s="172"/>
      <c r="G75" s="172"/>
      <c r="H75" s="173"/>
      <c r="I75" s="173"/>
    </row>
    <row r="76" spans="1:9" x14ac:dyDescent="0.25">
      <c r="A76" s="173"/>
      <c r="B76" s="174"/>
      <c r="C76" s="174"/>
      <c r="D76" s="174"/>
      <c r="E76" s="175"/>
      <c r="F76" s="175"/>
      <c r="G76" s="175"/>
      <c r="H76" s="173"/>
      <c r="I76" s="173"/>
    </row>
    <row r="77" spans="1:9" x14ac:dyDescent="0.25">
      <c r="A77" s="173"/>
      <c r="B77" s="176"/>
      <c r="C77" s="173"/>
      <c r="D77" s="173"/>
      <c r="E77" s="173"/>
      <c r="F77" s="173"/>
      <c r="G77" s="173"/>
      <c r="H77" s="173"/>
      <c r="I77" s="173"/>
    </row>
    <row r="78" spans="1:9" x14ac:dyDescent="0.25">
      <c r="A78" s="173"/>
      <c r="B78" s="176"/>
      <c r="C78" s="173"/>
      <c r="D78" s="173"/>
      <c r="E78" s="173"/>
      <c r="F78" s="173"/>
      <c r="G78" s="173"/>
      <c r="H78" s="173"/>
      <c r="I78" s="173"/>
    </row>
    <row r="79" spans="1:9" x14ac:dyDescent="0.25">
      <c r="A79" s="173"/>
      <c r="B79" s="176"/>
      <c r="C79" s="173"/>
      <c r="D79" s="173"/>
      <c r="E79" s="173"/>
      <c r="F79" s="173"/>
      <c r="G79" s="173"/>
      <c r="H79" s="173"/>
      <c r="I79" s="173"/>
    </row>
    <row r="80" spans="1:9" x14ac:dyDescent="0.25">
      <c r="A80" s="173"/>
      <c r="B80" s="176"/>
      <c r="C80" s="173"/>
      <c r="D80" s="173"/>
      <c r="E80" s="173"/>
      <c r="F80" s="173"/>
      <c r="G80" s="173"/>
      <c r="H80" s="173"/>
      <c r="I80" s="173"/>
    </row>
    <row r="81" spans="1:9" x14ac:dyDescent="0.25">
      <c r="A81" s="173"/>
      <c r="B81" s="176"/>
      <c r="C81" s="173"/>
      <c r="D81" s="173"/>
      <c r="E81" s="173"/>
      <c r="F81" s="173"/>
      <c r="G81" s="173"/>
      <c r="H81" s="173"/>
      <c r="I81" s="173"/>
    </row>
    <row r="82" spans="1:9" x14ac:dyDescent="0.25">
      <c r="A82" s="173"/>
      <c r="B82" s="173"/>
      <c r="C82" s="173"/>
      <c r="D82" s="173"/>
      <c r="E82" s="173"/>
      <c r="F82" s="173"/>
      <c r="G82" s="173"/>
      <c r="H82" s="173"/>
      <c r="I82" s="173"/>
    </row>
    <row r="83" spans="1:9" ht="18.75" x14ac:dyDescent="0.3">
      <c r="A83" s="173"/>
      <c r="B83" s="198"/>
      <c r="C83" s="198"/>
      <c r="D83" s="198"/>
      <c r="E83" s="198"/>
      <c r="F83" s="172"/>
      <c r="G83" s="172"/>
      <c r="H83" s="173"/>
      <c r="I83" s="173"/>
    </row>
    <row r="84" spans="1:9" x14ac:dyDescent="0.25">
      <c r="A84" s="173"/>
      <c r="B84" s="174"/>
      <c r="C84" s="174"/>
      <c r="D84" s="174"/>
      <c r="E84" s="175"/>
      <c r="F84" s="175"/>
      <c r="G84" s="175"/>
      <c r="H84" s="173"/>
      <c r="I84" s="173"/>
    </row>
    <row r="85" spans="1:9" x14ac:dyDescent="0.25">
      <c r="A85" s="173"/>
      <c r="B85" s="176"/>
      <c r="C85" s="173"/>
      <c r="D85" s="173"/>
      <c r="E85" s="173"/>
      <c r="F85" s="173"/>
      <c r="G85" s="173"/>
      <c r="H85" s="173"/>
      <c r="I85" s="173"/>
    </row>
    <row r="86" spans="1:9" x14ac:dyDescent="0.25">
      <c r="A86" s="173"/>
      <c r="B86" s="176"/>
      <c r="C86" s="173"/>
      <c r="D86" s="173"/>
      <c r="E86" s="173"/>
      <c r="F86" s="173"/>
      <c r="G86" s="173"/>
      <c r="H86" s="173"/>
      <c r="I86" s="173"/>
    </row>
    <row r="87" spans="1:9" x14ac:dyDescent="0.25">
      <c r="A87" s="173"/>
      <c r="B87" s="176"/>
      <c r="C87" s="173"/>
      <c r="D87" s="173"/>
      <c r="E87" s="173"/>
      <c r="F87" s="173"/>
      <c r="G87" s="173"/>
      <c r="H87" s="173"/>
      <c r="I87" s="173"/>
    </row>
    <row r="88" spans="1:9" x14ac:dyDescent="0.25">
      <c r="A88" s="173"/>
      <c r="B88" s="176"/>
      <c r="C88" s="173"/>
      <c r="D88" s="173"/>
      <c r="E88" s="173"/>
      <c r="F88" s="173"/>
      <c r="G88" s="173"/>
      <c r="H88" s="173"/>
      <c r="I88" s="173"/>
    </row>
    <row r="89" spans="1:9" x14ac:dyDescent="0.25">
      <c r="A89" s="173"/>
      <c r="B89" s="176"/>
      <c r="C89" s="173"/>
      <c r="D89" s="173"/>
      <c r="E89" s="173"/>
      <c r="F89" s="173"/>
      <c r="G89" s="173"/>
      <c r="H89" s="173"/>
      <c r="I89" s="173"/>
    </row>
    <row r="90" spans="1:9" x14ac:dyDescent="0.25">
      <c r="A90" s="173"/>
      <c r="B90" s="173"/>
      <c r="C90" s="173"/>
      <c r="D90" s="173"/>
      <c r="E90" s="173"/>
      <c r="F90" s="173"/>
      <c r="G90" s="173"/>
      <c r="H90" s="173"/>
      <c r="I90" s="173"/>
    </row>
    <row r="91" spans="1:9" ht="18.75" x14ac:dyDescent="0.3">
      <c r="A91" s="173"/>
      <c r="B91" s="198"/>
      <c r="C91" s="198"/>
      <c r="D91" s="198"/>
      <c r="E91" s="198"/>
      <c r="F91" s="172"/>
      <c r="G91" s="172"/>
      <c r="H91" s="173"/>
      <c r="I91" s="173"/>
    </row>
    <row r="92" spans="1:9" x14ac:dyDescent="0.25">
      <c r="A92" s="173"/>
      <c r="B92" s="174"/>
      <c r="C92" s="174"/>
      <c r="D92" s="174"/>
      <c r="E92" s="175"/>
      <c r="F92" s="175"/>
      <c r="G92" s="175"/>
      <c r="H92" s="173"/>
      <c r="I92" s="173"/>
    </row>
    <row r="93" spans="1:9" x14ac:dyDescent="0.25">
      <c r="A93" s="173"/>
      <c r="B93" s="176"/>
      <c r="C93" s="173"/>
      <c r="D93" s="173"/>
      <c r="E93" s="173"/>
      <c r="F93" s="173"/>
      <c r="G93" s="173"/>
      <c r="H93" s="173"/>
      <c r="I93" s="173"/>
    </row>
    <row r="94" spans="1:9" x14ac:dyDescent="0.25">
      <c r="A94" s="173"/>
      <c r="B94" s="176"/>
      <c r="C94" s="173"/>
      <c r="D94" s="173"/>
      <c r="E94" s="173"/>
      <c r="F94" s="173"/>
      <c r="G94" s="173"/>
      <c r="H94" s="173"/>
      <c r="I94" s="173"/>
    </row>
    <row r="95" spans="1:9" x14ac:dyDescent="0.25">
      <c r="A95" s="173"/>
      <c r="B95" s="176"/>
      <c r="C95" s="173"/>
      <c r="D95" s="173"/>
      <c r="E95" s="173"/>
      <c r="F95" s="173"/>
      <c r="G95" s="173"/>
      <c r="H95" s="173"/>
      <c r="I95" s="173"/>
    </row>
    <row r="96" spans="1:9" x14ac:dyDescent="0.25">
      <c r="A96" s="173"/>
      <c r="B96" s="176"/>
      <c r="C96" s="173"/>
      <c r="D96" s="173"/>
      <c r="E96" s="173"/>
      <c r="F96" s="173"/>
      <c r="G96" s="173"/>
      <c r="H96" s="173"/>
      <c r="I96" s="173"/>
    </row>
    <row r="97" spans="1:9" x14ac:dyDescent="0.25">
      <c r="A97" s="173"/>
      <c r="B97" s="176"/>
      <c r="C97" s="173"/>
      <c r="D97" s="173"/>
      <c r="E97" s="173"/>
      <c r="F97" s="173"/>
      <c r="G97" s="173"/>
      <c r="H97" s="173"/>
      <c r="I97" s="173"/>
    </row>
    <row r="98" spans="1:9" x14ac:dyDescent="0.25">
      <c r="A98" s="173"/>
      <c r="B98" s="173"/>
      <c r="C98" s="173"/>
      <c r="D98" s="173"/>
      <c r="E98" s="173"/>
      <c r="F98" s="173"/>
      <c r="G98" s="173"/>
      <c r="H98" s="173"/>
      <c r="I98" s="173"/>
    </row>
  </sheetData>
  <sheetProtection algorithmName="SHA-512" hashValue="Ssodjl8APzTVFAzQzu9J7kNvMje/ll7QoRE2NaJjl1wGsmQy/c8IJhYfebygAoLSPl4Jx55w8gqP+blCaoxU5Q==" saltValue="3E3SNGxXUtwGM9r1V6MLhQ==" spinCount="100000" sheet="1" objects="1" scenarios="1" selectLockedCells="1"/>
  <mergeCells count="11">
    <mergeCell ref="B2:H3"/>
    <mergeCell ref="B75:E75"/>
    <mergeCell ref="B83:E83"/>
    <mergeCell ref="B91:E91"/>
    <mergeCell ref="B27:E27"/>
    <mergeCell ref="B35:E35"/>
    <mergeCell ref="B43:E43"/>
    <mergeCell ref="B51:E51"/>
    <mergeCell ref="B59:E59"/>
    <mergeCell ref="B67:E67"/>
    <mergeCell ref="B4:G4"/>
  </mergeCells>
  <pageMargins left="0.7" right="0.7" top="0.75" bottom="0.75" header="0.3" footer="0.3"/>
  <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showGridLines="0" zoomScaleNormal="100" workbookViewId="0">
      <selection activeCell="E11" sqref="E11"/>
    </sheetView>
  </sheetViews>
  <sheetFormatPr defaultColWidth="9.140625" defaultRowHeight="15" x14ac:dyDescent="0.25"/>
  <cols>
    <col min="1" max="1" width="7.7109375" style="47" customWidth="1"/>
    <col min="2" max="2" width="1.7109375" style="48" customWidth="1"/>
    <col min="3" max="3" width="6.7109375" style="48" customWidth="1"/>
    <col min="4" max="4" width="100.7109375" style="49" customWidth="1"/>
    <col min="5" max="5" width="7.7109375" style="49" customWidth="1"/>
    <col min="6" max="8" width="7.7109375" style="48" customWidth="1"/>
    <col min="9" max="9" width="100.7109375" style="48" customWidth="1"/>
    <col min="10" max="16384" width="9.140625" style="48"/>
  </cols>
  <sheetData>
    <row r="1" spans="1:16" ht="15" customHeight="1" x14ac:dyDescent="0.25"/>
    <row r="2" spans="1:16" ht="15" customHeight="1" x14ac:dyDescent="0.25">
      <c r="D2" s="202" t="s">
        <v>242</v>
      </c>
      <c r="E2" s="202"/>
      <c r="F2" s="202"/>
      <c r="G2" s="202"/>
      <c r="H2" s="202"/>
    </row>
    <row r="3" spans="1:16" ht="15" customHeight="1" x14ac:dyDescent="0.25">
      <c r="D3" s="202"/>
      <c r="E3" s="202"/>
      <c r="F3" s="202"/>
      <c r="G3" s="202"/>
      <c r="H3" s="202"/>
    </row>
    <row r="4" spans="1:16" ht="15" customHeight="1" x14ac:dyDescent="0.25"/>
    <row r="5" spans="1:16" ht="30" customHeight="1" x14ac:dyDescent="0.25">
      <c r="C5" s="50" t="s">
        <v>0</v>
      </c>
      <c r="D5" s="51" t="s">
        <v>4</v>
      </c>
      <c r="E5" s="78" t="s">
        <v>332</v>
      </c>
      <c r="F5" s="80" t="s">
        <v>5</v>
      </c>
      <c r="G5" s="52" t="s">
        <v>6</v>
      </c>
      <c r="H5" s="81" t="s">
        <v>7</v>
      </c>
      <c r="I5" s="79" t="s">
        <v>56</v>
      </c>
    </row>
    <row r="6" spans="1:16" ht="30" customHeight="1" x14ac:dyDescent="0.25">
      <c r="A6" s="203" t="s">
        <v>238</v>
      </c>
      <c r="C6" s="53" t="s">
        <v>243</v>
      </c>
      <c r="D6" s="54" t="s">
        <v>152</v>
      </c>
      <c r="E6" s="67" t="s">
        <v>7</v>
      </c>
      <c r="F6" s="71" t="str">
        <f>IF(E6="nc","n","")</f>
        <v/>
      </c>
      <c r="G6" s="55" t="str">
        <f>IF(E6="pc","n","")</f>
        <v/>
      </c>
      <c r="H6" s="72" t="str">
        <f>IF(E6="c","n","")</f>
        <v>n</v>
      </c>
      <c r="I6" s="68"/>
      <c r="J6" s="56"/>
      <c r="K6" s="56"/>
      <c r="L6" s="56"/>
      <c r="M6" s="56"/>
      <c r="N6" s="56"/>
      <c r="O6" s="56"/>
      <c r="P6" s="56"/>
    </row>
    <row r="7" spans="1:16" ht="30" customHeight="1" x14ac:dyDescent="0.25">
      <c r="A7" s="204"/>
      <c r="C7" s="53" t="s">
        <v>244</v>
      </c>
      <c r="D7" s="54" t="s">
        <v>142</v>
      </c>
      <c r="E7" s="67" t="s">
        <v>5</v>
      </c>
      <c r="F7" s="71" t="str">
        <f>IF(E7="nc","n","")</f>
        <v>n</v>
      </c>
      <c r="G7" s="55" t="str">
        <f t="shared" ref="G7:G19" si="0">IF(E7="pc","n","")</f>
        <v/>
      </c>
      <c r="H7" s="72" t="str">
        <f t="shared" ref="H7:H19" si="1">IF(E7="c","n","")</f>
        <v/>
      </c>
      <c r="I7" s="68"/>
      <c r="J7" s="56"/>
      <c r="K7" s="56"/>
      <c r="L7" s="56"/>
      <c r="M7" s="56"/>
      <c r="N7" s="56"/>
      <c r="O7" s="56"/>
      <c r="P7" s="56"/>
    </row>
    <row r="8" spans="1:16" ht="30" customHeight="1" x14ac:dyDescent="0.25">
      <c r="A8" s="204"/>
      <c r="C8" s="53" t="s">
        <v>245</v>
      </c>
      <c r="D8" s="54" t="s">
        <v>162</v>
      </c>
      <c r="E8" s="67" t="s">
        <v>7</v>
      </c>
      <c r="F8" s="71" t="str">
        <f t="shared" ref="F8:F19" si="2">IF(E8="nc","n","")</f>
        <v/>
      </c>
      <c r="G8" s="55" t="str">
        <f t="shared" si="0"/>
        <v/>
      </c>
      <c r="H8" s="72" t="str">
        <f t="shared" si="1"/>
        <v>n</v>
      </c>
      <c r="I8" s="68"/>
      <c r="J8" s="56"/>
      <c r="K8" s="56"/>
      <c r="L8" s="56"/>
      <c r="M8" s="56"/>
      <c r="N8" s="56"/>
      <c r="O8" s="56"/>
      <c r="P8" s="56"/>
    </row>
    <row r="9" spans="1:16" ht="30" customHeight="1" x14ac:dyDescent="0.25">
      <c r="A9" s="205"/>
      <c r="C9" s="53" t="s">
        <v>246</v>
      </c>
      <c r="D9" s="54" t="s">
        <v>234</v>
      </c>
      <c r="E9" s="67" t="s">
        <v>5</v>
      </c>
      <c r="F9" s="71" t="str">
        <f t="shared" si="2"/>
        <v>n</v>
      </c>
      <c r="G9" s="55" t="str">
        <f t="shared" si="0"/>
        <v/>
      </c>
      <c r="H9" s="72" t="str">
        <f t="shared" si="1"/>
        <v/>
      </c>
      <c r="I9" s="68"/>
      <c r="J9" s="56"/>
      <c r="K9" s="56"/>
      <c r="L9" s="56"/>
      <c r="M9" s="56"/>
      <c r="N9" s="56"/>
      <c r="O9" s="56"/>
      <c r="P9" s="56"/>
    </row>
    <row r="10" spans="1:16" ht="30" customHeight="1" x14ac:dyDescent="0.25">
      <c r="A10" s="203" t="s">
        <v>239</v>
      </c>
      <c r="C10" s="53" t="s">
        <v>247</v>
      </c>
      <c r="D10" s="54" t="s">
        <v>153</v>
      </c>
      <c r="E10" s="67" t="s">
        <v>7</v>
      </c>
      <c r="F10" s="71" t="str">
        <f t="shared" si="2"/>
        <v/>
      </c>
      <c r="G10" s="55" t="str">
        <f t="shared" si="0"/>
        <v/>
      </c>
      <c r="H10" s="72" t="str">
        <f t="shared" si="1"/>
        <v>n</v>
      </c>
      <c r="I10" s="68"/>
      <c r="J10" s="56"/>
      <c r="K10" s="56"/>
      <c r="L10" s="56"/>
      <c r="M10" s="56"/>
      <c r="N10" s="56"/>
      <c r="O10" s="56"/>
      <c r="P10" s="56"/>
    </row>
    <row r="11" spans="1:16" ht="30" customHeight="1" x14ac:dyDescent="0.25">
      <c r="A11" s="204"/>
      <c r="C11" s="53" t="s">
        <v>248</v>
      </c>
      <c r="D11" s="54" t="s">
        <v>237</v>
      </c>
      <c r="E11" s="67" t="s">
        <v>7</v>
      </c>
      <c r="F11" s="71" t="str">
        <f>IF(E11="nc","n","")</f>
        <v/>
      </c>
      <c r="G11" s="55" t="str">
        <f>IF(E11="pc","n","")</f>
        <v/>
      </c>
      <c r="H11" s="72" t="str">
        <f>IF(E11="c","n","")</f>
        <v>n</v>
      </c>
      <c r="I11" s="68"/>
      <c r="J11" s="56"/>
      <c r="K11" s="56"/>
      <c r="L11" s="56"/>
      <c r="M11" s="56"/>
      <c r="N11" s="56"/>
      <c r="O11" s="56"/>
      <c r="P11" s="56"/>
    </row>
    <row r="12" spans="1:16" ht="30" customHeight="1" x14ac:dyDescent="0.25">
      <c r="A12" s="204"/>
      <c r="C12" s="53" t="s">
        <v>249</v>
      </c>
      <c r="D12" s="54" t="s">
        <v>154</v>
      </c>
      <c r="E12" s="67" t="s">
        <v>6</v>
      </c>
      <c r="F12" s="71" t="str">
        <f>IF(E12="nc","n","")</f>
        <v/>
      </c>
      <c r="G12" s="55" t="str">
        <f>IF(E12="pc","n","")</f>
        <v>n</v>
      </c>
      <c r="H12" s="72" t="str">
        <f>IF(E12="c","n","")</f>
        <v/>
      </c>
      <c r="I12" s="68"/>
      <c r="J12" s="56"/>
      <c r="K12" s="56"/>
      <c r="L12" s="56"/>
      <c r="M12" s="56"/>
      <c r="N12" s="56"/>
      <c r="O12" s="56"/>
      <c r="P12" s="56"/>
    </row>
    <row r="13" spans="1:16" ht="30" customHeight="1" x14ac:dyDescent="0.25">
      <c r="A13" s="204"/>
      <c r="C13" s="53" t="s">
        <v>250</v>
      </c>
      <c r="D13" s="54" t="s">
        <v>155</v>
      </c>
      <c r="E13" s="67" t="s">
        <v>7</v>
      </c>
      <c r="F13" s="71" t="str">
        <f t="shared" si="2"/>
        <v/>
      </c>
      <c r="G13" s="55" t="str">
        <f t="shared" si="0"/>
        <v/>
      </c>
      <c r="H13" s="72" t="str">
        <f t="shared" si="1"/>
        <v>n</v>
      </c>
      <c r="I13" s="68"/>
      <c r="J13" s="56"/>
      <c r="K13" s="56"/>
      <c r="L13" s="56"/>
      <c r="M13" s="56"/>
      <c r="N13" s="56"/>
      <c r="O13" s="56"/>
      <c r="P13" s="56"/>
    </row>
    <row r="14" spans="1:16" ht="30" customHeight="1" x14ac:dyDescent="0.25">
      <c r="A14" s="204"/>
      <c r="C14" s="53" t="s">
        <v>251</v>
      </c>
      <c r="D14" s="54" t="s">
        <v>156</v>
      </c>
      <c r="E14" s="67" t="s">
        <v>5</v>
      </c>
      <c r="F14" s="71" t="str">
        <f t="shared" si="2"/>
        <v>n</v>
      </c>
      <c r="G14" s="55" t="str">
        <f t="shared" si="0"/>
        <v/>
      </c>
      <c r="H14" s="72" t="str">
        <f t="shared" si="1"/>
        <v/>
      </c>
      <c r="I14" s="68"/>
      <c r="J14" s="56"/>
      <c r="K14" s="56"/>
      <c r="L14" s="56"/>
      <c r="M14" s="56"/>
      <c r="N14" s="56"/>
      <c r="O14" s="56"/>
      <c r="P14" s="56"/>
    </row>
    <row r="15" spans="1:16" ht="30" customHeight="1" x14ac:dyDescent="0.25">
      <c r="A15" s="205"/>
      <c r="C15" s="53" t="s">
        <v>252</v>
      </c>
      <c r="D15" s="54" t="s">
        <v>164</v>
      </c>
      <c r="E15" s="67" t="s">
        <v>6</v>
      </c>
      <c r="F15" s="71" t="str">
        <f t="shared" si="2"/>
        <v/>
      </c>
      <c r="G15" s="55" t="str">
        <f t="shared" si="0"/>
        <v>n</v>
      </c>
      <c r="H15" s="72" t="str">
        <f t="shared" si="1"/>
        <v/>
      </c>
      <c r="I15" s="68"/>
      <c r="J15" s="56"/>
      <c r="K15" s="56"/>
      <c r="L15" s="56"/>
      <c r="M15" s="56"/>
      <c r="N15" s="56"/>
      <c r="O15" s="56"/>
      <c r="P15" s="56"/>
    </row>
    <row r="16" spans="1:16" ht="30" customHeight="1" x14ac:dyDescent="0.25">
      <c r="A16" s="203" t="s">
        <v>240</v>
      </c>
      <c r="C16" s="53" t="s">
        <v>253</v>
      </c>
      <c r="D16" s="54" t="s">
        <v>139</v>
      </c>
      <c r="E16" s="67" t="s">
        <v>7</v>
      </c>
      <c r="F16" s="71" t="str">
        <f t="shared" si="2"/>
        <v/>
      </c>
      <c r="G16" s="55" t="str">
        <f t="shared" si="0"/>
        <v/>
      </c>
      <c r="H16" s="72" t="str">
        <f t="shared" si="1"/>
        <v>n</v>
      </c>
      <c r="I16" s="69"/>
    </row>
    <row r="17" spans="1:9" ht="30" customHeight="1" x14ac:dyDescent="0.25">
      <c r="A17" s="205"/>
      <c r="C17" s="53" t="s">
        <v>254</v>
      </c>
      <c r="D17" s="54" t="s">
        <v>140</v>
      </c>
      <c r="E17" s="67" t="s">
        <v>7</v>
      </c>
      <c r="F17" s="71" t="str">
        <f t="shared" si="2"/>
        <v/>
      </c>
      <c r="G17" s="55" t="str">
        <f t="shared" si="0"/>
        <v/>
      </c>
      <c r="H17" s="72" t="str">
        <f t="shared" si="1"/>
        <v>n</v>
      </c>
      <c r="I17" s="69"/>
    </row>
    <row r="18" spans="1:9" ht="30" customHeight="1" x14ac:dyDescent="0.25">
      <c r="A18" s="57" t="s">
        <v>255</v>
      </c>
      <c r="C18" s="53" t="s">
        <v>502</v>
      </c>
      <c r="D18" s="54" t="s">
        <v>158</v>
      </c>
      <c r="E18" s="67" t="s">
        <v>7</v>
      </c>
      <c r="F18" s="71" t="str">
        <f t="shared" si="2"/>
        <v/>
      </c>
      <c r="G18" s="55" t="str">
        <f t="shared" si="0"/>
        <v/>
      </c>
      <c r="H18" s="72" t="str">
        <f t="shared" si="1"/>
        <v>n</v>
      </c>
      <c r="I18" s="69"/>
    </row>
    <row r="19" spans="1:9" ht="30" customHeight="1" thickBot="1" x14ac:dyDescent="0.3">
      <c r="A19" s="58" t="s">
        <v>256</v>
      </c>
      <c r="C19" s="59" t="s">
        <v>503</v>
      </c>
      <c r="D19" s="60" t="s">
        <v>157</v>
      </c>
      <c r="E19" s="67" t="s">
        <v>6</v>
      </c>
      <c r="F19" s="73" t="str">
        <f t="shared" si="2"/>
        <v/>
      </c>
      <c r="G19" s="74" t="str">
        <f t="shared" si="0"/>
        <v>n</v>
      </c>
      <c r="H19" s="75" t="str">
        <f t="shared" si="1"/>
        <v/>
      </c>
      <c r="I19" s="70"/>
    </row>
    <row r="20" spans="1:9" ht="16.5" thickTop="1" thickBot="1" x14ac:dyDescent="0.3">
      <c r="C20" s="61"/>
      <c r="D20" s="199" t="s">
        <v>257</v>
      </c>
      <c r="E20" s="200"/>
      <c r="F20" s="127">
        <f>COUNTIF(Table1[NC],"n")</f>
        <v>3</v>
      </c>
      <c r="G20" s="128">
        <f>COUNTIF(Table1[PC],"n")</f>
        <v>3</v>
      </c>
      <c r="H20" s="129">
        <f>COUNTIF(Table1[C],"n")</f>
        <v>8</v>
      </c>
      <c r="I20" s="62"/>
    </row>
    <row r="21" spans="1:9" ht="16.5" thickTop="1" thickBot="1" x14ac:dyDescent="0.3">
      <c r="C21" s="61"/>
      <c r="D21" s="199" t="s">
        <v>258</v>
      </c>
      <c r="E21" s="200"/>
      <c r="F21" s="130">
        <f>SUM(F20*0)</f>
        <v>0</v>
      </c>
      <c r="G21" s="131">
        <f>SUM(G20*1)</f>
        <v>3</v>
      </c>
      <c r="H21" s="132">
        <f>SUM(H20*3)</f>
        <v>24</v>
      </c>
      <c r="I21" s="62"/>
    </row>
    <row r="22" spans="1:9" x14ac:dyDescent="0.25">
      <c r="D22" s="201" t="s">
        <v>1</v>
      </c>
      <c r="E22" s="201"/>
      <c r="F22" s="63">
        <f>SUM(F21:H21)</f>
        <v>27</v>
      </c>
      <c r="G22" s="64" t="s">
        <v>317</v>
      </c>
    </row>
  </sheetData>
  <sheetProtection algorithmName="SHA-512" hashValue="ayGGIcjRdOo5LOI6xWNxtON05i8dsdCje4eATzkh0ExATWhT+FtAbxDfYLxTCsVs46Xnn/87k569SdTsXKMFTg==" saltValue="mYNPeN3R54bJMm8PNiUHbg==" spinCount="100000" sheet="1" objects="1" scenarios="1" selectLockedCells="1"/>
  <mergeCells count="7">
    <mergeCell ref="D20:E20"/>
    <mergeCell ref="D21:E21"/>
    <mergeCell ref="D22:E22"/>
    <mergeCell ref="D2:H3"/>
    <mergeCell ref="A6:A9"/>
    <mergeCell ref="A10:A15"/>
    <mergeCell ref="A16:A17"/>
  </mergeCells>
  <dataValidations xWindow="871" yWindow="637" count="1">
    <dataValidation type="list" allowBlank="1" showInputMessage="1" showErrorMessage="1" prompt="Please enter either NC for a Non Conformance, PC for a Partial Conformance or C for a Conformance" sqref="E6:E19">
      <formula1>Result</formula1>
    </dataValidation>
  </dataValidations>
  <pageMargins left="0.7" right="0.7" top="0.75" bottom="0.75" header="0.3" footer="0.3"/>
  <drawing r:id="rId1"/>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showGridLines="0" topLeftCell="A46" zoomScaleNormal="100" workbookViewId="0">
      <selection activeCell="E16" sqref="E16"/>
    </sheetView>
  </sheetViews>
  <sheetFormatPr defaultRowHeight="15" x14ac:dyDescent="0.25"/>
  <cols>
    <col min="1" max="1" width="7.7109375" customWidth="1"/>
    <col min="2" max="2" width="1.7109375" customWidth="1"/>
    <col min="3" max="3" width="6.7109375" customWidth="1"/>
    <col min="4" max="4" width="100.7109375" customWidth="1"/>
    <col min="5" max="5" width="7.7109375" customWidth="1"/>
    <col min="6" max="8" width="7.7109375" style="3" customWidth="1"/>
    <col min="9" max="9" width="100.7109375" customWidth="1"/>
  </cols>
  <sheetData>
    <row r="1" spans="1:9" ht="15" customHeight="1" x14ac:dyDescent="0.25"/>
    <row r="2" spans="1:9" ht="15" customHeight="1" x14ac:dyDescent="0.25">
      <c r="D2" s="206" t="s">
        <v>318</v>
      </c>
      <c r="E2" s="206"/>
      <c r="F2" s="206"/>
      <c r="G2" s="206"/>
      <c r="H2" s="206"/>
    </row>
    <row r="3" spans="1:9" ht="15" customHeight="1" x14ac:dyDescent="0.25">
      <c r="D3" s="206"/>
      <c r="E3" s="206"/>
      <c r="F3" s="206"/>
      <c r="G3" s="206"/>
      <c r="H3" s="206"/>
    </row>
    <row r="4" spans="1:9" ht="15" customHeight="1" x14ac:dyDescent="0.25"/>
    <row r="5" spans="1:9" ht="30" customHeight="1" x14ac:dyDescent="0.25">
      <c r="C5" s="15" t="s">
        <v>0</v>
      </c>
      <c r="D5" s="5" t="s">
        <v>4</v>
      </c>
      <c r="E5" s="6" t="s">
        <v>332</v>
      </c>
      <c r="F5" s="87" t="s">
        <v>5</v>
      </c>
      <c r="G5" s="9" t="s">
        <v>6</v>
      </c>
      <c r="H5" s="88" t="s">
        <v>7</v>
      </c>
      <c r="I5" s="85" t="s">
        <v>56</v>
      </c>
    </row>
    <row r="6" spans="1:9" ht="30" customHeight="1" x14ac:dyDescent="0.25">
      <c r="A6" s="209" t="s">
        <v>177</v>
      </c>
      <c r="C6" s="33" t="s">
        <v>235</v>
      </c>
      <c r="D6" s="32" t="s">
        <v>147</v>
      </c>
      <c r="E6" s="67" t="s">
        <v>7</v>
      </c>
      <c r="F6" s="89" t="str">
        <f>IF(Table2[[#This Row],[Result]]="NC","n","")</f>
        <v/>
      </c>
      <c r="G6" s="42" t="str">
        <f>IF(Table2[[#This Row],[Result]]="PC","n","")</f>
        <v/>
      </c>
      <c r="H6" s="90" t="str">
        <f>IF(Table2[[#This Row],[Result]]="C","n","")</f>
        <v>n</v>
      </c>
      <c r="I6" s="86"/>
    </row>
    <row r="7" spans="1:9" ht="30" customHeight="1" x14ac:dyDescent="0.25">
      <c r="A7" s="210"/>
      <c r="C7" s="33" t="s">
        <v>267</v>
      </c>
      <c r="D7" s="12" t="s">
        <v>148</v>
      </c>
      <c r="E7" s="67" t="s">
        <v>7</v>
      </c>
      <c r="F7" s="89" t="str">
        <f>IF(Table2[[#This Row],[Result]]="NC","n","")</f>
        <v/>
      </c>
      <c r="G7" s="42" t="str">
        <f>IF(Table2[[#This Row],[Result]]="PC","n","")</f>
        <v/>
      </c>
      <c r="H7" s="90" t="str">
        <f>IF(Table2[[#This Row],[Result]]="C","n","")</f>
        <v>n</v>
      </c>
      <c r="I7" s="86"/>
    </row>
    <row r="8" spans="1:9" ht="30" customHeight="1" x14ac:dyDescent="0.25">
      <c r="A8" s="210"/>
      <c r="C8" s="33" t="s">
        <v>268</v>
      </c>
      <c r="D8" s="12" t="s">
        <v>149</v>
      </c>
      <c r="E8" s="67" t="s">
        <v>6</v>
      </c>
      <c r="F8" s="89" t="str">
        <f>IF(Table2[[#This Row],[Result]]="NC","n","")</f>
        <v/>
      </c>
      <c r="G8" s="42" t="str">
        <f>IF(Table2[[#This Row],[Result]]="PC","n","")</f>
        <v>n</v>
      </c>
      <c r="H8" s="90" t="str">
        <f>IF(Table2[[#This Row],[Result]]="C","n","")</f>
        <v/>
      </c>
      <c r="I8" s="86"/>
    </row>
    <row r="9" spans="1:9" ht="30" customHeight="1" x14ac:dyDescent="0.25">
      <c r="A9" s="210"/>
      <c r="C9" s="33" t="s">
        <v>269</v>
      </c>
      <c r="D9" s="12" t="s">
        <v>67</v>
      </c>
      <c r="E9" s="67" t="s">
        <v>6</v>
      </c>
      <c r="F9" s="89" t="str">
        <f>IF(Table2[[#This Row],[Result]]="NC","n","")</f>
        <v/>
      </c>
      <c r="G9" s="42" t="str">
        <f>IF(Table2[[#This Row],[Result]]="PC","n","")</f>
        <v>n</v>
      </c>
      <c r="H9" s="90" t="str">
        <f>IF(Table2[[#This Row],[Result]]="C","n","")</f>
        <v/>
      </c>
      <c r="I9" s="86"/>
    </row>
    <row r="10" spans="1:9" ht="30" customHeight="1" x14ac:dyDescent="0.25">
      <c r="A10" s="211"/>
      <c r="C10" s="33" t="s">
        <v>270</v>
      </c>
      <c r="D10" s="12" t="s">
        <v>66</v>
      </c>
      <c r="E10" s="67" t="s">
        <v>7</v>
      </c>
      <c r="F10" s="89" t="str">
        <f>IF(Table2[[#This Row],[Result]]="NC","n","")</f>
        <v/>
      </c>
      <c r="G10" s="42" t="str">
        <f>IF(Table2[[#This Row],[Result]]="PC","n","")</f>
        <v/>
      </c>
      <c r="H10" s="90" t="str">
        <f>IF(Table2[[#This Row],[Result]]="C","n","")</f>
        <v>n</v>
      </c>
      <c r="I10" s="86"/>
    </row>
    <row r="11" spans="1:9" ht="30" customHeight="1" x14ac:dyDescent="0.25">
      <c r="A11" s="215" t="s">
        <v>16</v>
      </c>
      <c r="C11" s="37" t="s">
        <v>236</v>
      </c>
      <c r="D11" s="12" t="s">
        <v>167</v>
      </c>
      <c r="E11" s="67" t="s">
        <v>6</v>
      </c>
      <c r="F11" s="76" t="str">
        <f>IF(Table2[[#This Row],[Result]]="NC","n","")</f>
        <v/>
      </c>
      <c r="G11" s="41" t="str">
        <f>IF(Table2[[#This Row],[Result]]="PC","n","")</f>
        <v>n</v>
      </c>
      <c r="H11" s="77" t="str">
        <f>IF(Table2[[#This Row],[Result]]="C","n","")</f>
        <v/>
      </c>
      <c r="I11" s="86"/>
    </row>
    <row r="12" spans="1:9" ht="30" customHeight="1" x14ac:dyDescent="0.25">
      <c r="A12" s="215"/>
      <c r="C12" s="37" t="s">
        <v>271</v>
      </c>
      <c r="D12" s="12" t="s">
        <v>319</v>
      </c>
      <c r="E12" s="44"/>
      <c r="F12" s="45"/>
      <c r="G12" s="45" t="str">
        <f>IF(Table2[[#This Row],[Result]]="PC","n","")</f>
        <v/>
      </c>
      <c r="H12" s="91" t="str">
        <f>IF(Table2[[#This Row],[Result]]="C","n","")</f>
        <v/>
      </c>
      <c r="I12" s="86"/>
    </row>
    <row r="13" spans="1:9" ht="30" customHeight="1" x14ac:dyDescent="0.25">
      <c r="A13" s="215"/>
      <c r="C13" s="37" t="s">
        <v>272</v>
      </c>
      <c r="D13" s="20" t="s">
        <v>320</v>
      </c>
      <c r="E13" s="82" t="s">
        <v>7</v>
      </c>
      <c r="F13" s="76" t="str">
        <f>IF(Table2[[#This Row],[Result]]="NC","n","")</f>
        <v/>
      </c>
      <c r="G13" s="41" t="str">
        <f>IF(Table2[[#This Row],[Result]]="PC","n","")</f>
        <v/>
      </c>
      <c r="H13" s="77" t="str">
        <f>IF(Table2[[#This Row],[Result]]="C","n","")</f>
        <v>n</v>
      </c>
      <c r="I13" s="86"/>
    </row>
    <row r="14" spans="1:9" ht="30" customHeight="1" x14ac:dyDescent="0.25">
      <c r="A14" s="215"/>
      <c r="C14" s="37" t="s">
        <v>273</v>
      </c>
      <c r="D14" s="19" t="s">
        <v>321</v>
      </c>
      <c r="E14" s="83" t="s">
        <v>7</v>
      </c>
      <c r="F14" s="76" t="str">
        <f>IF(Table2[[#This Row],[Result]]="NC","n","")</f>
        <v/>
      </c>
      <c r="G14" s="41" t="str">
        <f>IF(Table2[[#This Row],[Result]]="PC","n","")</f>
        <v/>
      </c>
      <c r="H14" s="77" t="str">
        <f>IF(Table2[[#This Row],[Result]]="C","n","")</f>
        <v>n</v>
      </c>
      <c r="I14" s="86"/>
    </row>
    <row r="15" spans="1:9" ht="30" customHeight="1" x14ac:dyDescent="0.25">
      <c r="A15" s="215"/>
      <c r="C15" s="37" t="s">
        <v>274</v>
      </c>
      <c r="D15" s="19" t="s">
        <v>322</v>
      </c>
      <c r="E15" s="83" t="s">
        <v>6</v>
      </c>
      <c r="F15" s="76" t="str">
        <f>IF(Table2[[#This Row],[Result]]="NC","n","")</f>
        <v/>
      </c>
      <c r="G15" s="41" t="str">
        <f>IF(Table2[[#This Row],[Result]]="PC","n","")</f>
        <v>n</v>
      </c>
      <c r="H15" s="77" t="str">
        <f>IF(Table2[[#This Row],[Result]]="C","n","")</f>
        <v/>
      </c>
      <c r="I15" s="86"/>
    </row>
    <row r="16" spans="1:9" ht="30" customHeight="1" x14ac:dyDescent="0.25">
      <c r="A16" s="215"/>
      <c r="C16" s="37" t="s">
        <v>275</v>
      </c>
      <c r="D16" s="19" t="s">
        <v>323</v>
      </c>
      <c r="E16" s="83" t="s">
        <v>7</v>
      </c>
      <c r="F16" s="76" t="str">
        <f>IF(Table2[[#This Row],[Result]]="NC","n","")</f>
        <v/>
      </c>
      <c r="G16" s="41" t="str">
        <f>IF(Table2[[#This Row],[Result]]="PC","n","")</f>
        <v/>
      </c>
      <c r="H16" s="77" t="str">
        <f>IF(Table2[[#This Row],[Result]]="C","n","")</f>
        <v>n</v>
      </c>
      <c r="I16" s="86"/>
    </row>
    <row r="17" spans="1:9" ht="30" customHeight="1" x14ac:dyDescent="0.25">
      <c r="A17" s="215"/>
      <c r="C17" s="37" t="s">
        <v>276</v>
      </c>
      <c r="D17" s="19" t="s">
        <v>324</v>
      </c>
      <c r="E17" s="83" t="s">
        <v>6</v>
      </c>
      <c r="F17" s="76" t="str">
        <f>IF(Table2[[#This Row],[Result]]="NC","n","")</f>
        <v/>
      </c>
      <c r="G17" s="41" t="str">
        <f>IF(Table2[[#This Row],[Result]]="PC","n","")</f>
        <v>n</v>
      </c>
      <c r="H17" s="77" t="str">
        <f>IF(Table2[[#This Row],[Result]]="C","n","")</f>
        <v/>
      </c>
      <c r="I17" s="86"/>
    </row>
    <row r="18" spans="1:9" ht="30" customHeight="1" x14ac:dyDescent="0.25">
      <c r="A18" s="215"/>
      <c r="C18" s="37" t="s">
        <v>277</v>
      </c>
      <c r="D18" s="19" t="s">
        <v>325</v>
      </c>
      <c r="E18" s="83" t="s">
        <v>7</v>
      </c>
      <c r="F18" s="76" t="str">
        <f>IF(Table2[[#This Row],[Result]]="NC","n","")</f>
        <v/>
      </c>
      <c r="G18" s="41" t="str">
        <f>IF(Table2[[#This Row],[Result]]="PC","n","")</f>
        <v/>
      </c>
      <c r="H18" s="77" t="str">
        <f>IF(Table2[[#This Row],[Result]]="C","n","")</f>
        <v>n</v>
      </c>
      <c r="I18" s="86"/>
    </row>
    <row r="19" spans="1:9" ht="30" customHeight="1" x14ac:dyDescent="0.25">
      <c r="A19" s="215"/>
      <c r="C19" s="37" t="s">
        <v>278</v>
      </c>
      <c r="D19" s="19" t="s">
        <v>326</v>
      </c>
      <c r="E19" s="83" t="s">
        <v>5</v>
      </c>
      <c r="F19" s="76" t="str">
        <f>IF(Table2[[#This Row],[Result]]="NC","n","")</f>
        <v>n</v>
      </c>
      <c r="G19" s="41" t="str">
        <f>IF(Table2[[#This Row],[Result]]="PC","n","")</f>
        <v/>
      </c>
      <c r="H19" s="77" t="str">
        <f>IF(Table2[[#This Row],[Result]]="C","n","")</f>
        <v/>
      </c>
      <c r="I19" s="86"/>
    </row>
    <row r="20" spans="1:9" ht="30" customHeight="1" x14ac:dyDescent="0.25">
      <c r="A20" s="215"/>
      <c r="C20" s="37" t="s">
        <v>279</v>
      </c>
      <c r="D20" s="12" t="s">
        <v>60</v>
      </c>
      <c r="E20" s="67" t="s">
        <v>5</v>
      </c>
      <c r="F20" s="76" t="str">
        <f>IF(Table2[[#This Row],[Result]]="NC","n","")</f>
        <v>n</v>
      </c>
      <c r="G20" s="41" t="str">
        <f>IF(Table2[[#This Row],[Result]]="PC","n","")</f>
        <v/>
      </c>
      <c r="H20" s="77" t="str">
        <f>IF(Table2[[#This Row],[Result]]="C","n","")</f>
        <v/>
      </c>
      <c r="I20" s="86"/>
    </row>
    <row r="21" spans="1:9" ht="30" customHeight="1" x14ac:dyDescent="0.25">
      <c r="A21" s="215"/>
      <c r="C21" s="37" t="s">
        <v>280</v>
      </c>
      <c r="D21" s="12" t="s">
        <v>145</v>
      </c>
      <c r="E21" s="67" t="s">
        <v>5</v>
      </c>
      <c r="F21" s="76" t="str">
        <f>IF(Table2[[#This Row],[Result]]="NC","n","")</f>
        <v>n</v>
      </c>
      <c r="G21" s="41" t="str">
        <f>IF(Table2[[#This Row],[Result]]="PC","n","")</f>
        <v/>
      </c>
      <c r="H21" s="77" t="str">
        <f>IF(Table2[[#This Row],[Result]]="C","n","")</f>
        <v/>
      </c>
      <c r="I21" s="86"/>
    </row>
    <row r="22" spans="1:9" ht="30" customHeight="1" x14ac:dyDescent="0.25">
      <c r="A22" s="215"/>
      <c r="C22" s="37" t="s">
        <v>281</v>
      </c>
      <c r="D22" s="12" t="s">
        <v>61</v>
      </c>
      <c r="E22" s="67" t="s">
        <v>6</v>
      </c>
      <c r="F22" s="76" t="str">
        <f>IF(Table2[[#This Row],[Result]]="NC","n","")</f>
        <v/>
      </c>
      <c r="G22" s="41" t="str">
        <f>IF(Table2[[#This Row],[Result]]="PC","n","")</f>
        <v>n</v>
      </c>
      <c r="H22" s="77" t="str">
        <f>IF(Table2[[#This Row],[Result]]="C","n","")</f>
        <v/>
      </c>
      <c r="I22" s="86"/>
    </row>
    <row r="23" spans="1:9" ht="30" customHeight="1" x14ac:dyDescent="0.25">
      <c r="A23" s="215"/>
      <c r="C23" s="37" t="s">
        <v>282</v>
      </c>
      <c r="D23" s="38" t="s">
        <v>327</v>
      </c>
      <c r="E23" s="67" t="s">
        <v>7</v>
      </c>
      <c r="F23" s="76" t="str">
        <f>IF(Table2[[#This Row],[Result]]="NC","n","")</f>
        <v/>
      </c>
      <c r="G23" s="41" t="str">
        <f>IF(Table2[[#This Row],[Result]]="PC","n","")</f>
        <v/>
      </c>
      <c r="H23" s="77" t="str">
        <f>IF(Table2[[#This Row],[Result]]="C","n","")</f>
        <v>n</v>
      </c>
      <c r="I23" s="86"/>
    </row>
    <row r="24" spans="1:9" ht="30" customHeight="1" x14ac:dyDescent="0.25">
      <c r="A24" s="215"/>
      <c r="C24" s="37" t="s">
        <v>283</v>
      </c>
      <c r="D24" s="12" t="s">
        <v>168</v>
      </c>
      <c r="E24" s="67" t="s">
        <v>7</v>
      </c>
      <c r="F24" s="76" t="str">
        <f>IF(Table2[[#This Row],[Result]]="NC","n","")</f>
        <v/>
      </c>
      <c r="G24" s="41" t="str">
        <f>IF(Table2[[#This Row],[Result]]="PC","n","")</f>
        <v/>
      </c>
      <c r="H24" s="77" t="str">
        <f>IF(Table2[[#This Row],[Result]]="C","n","")</f>
        <v>n</v>
      </c>
      <c r="I24" s="86"/>
    </row>
    <row r="25" spans="1:9" ht="30" customHeight="1" x14ac:dyDescent="0.25">
      <c r="A25" s="215" t="s">
        <v>170</v>
      </c>
      <c r="C25" s="37" t="s">
        <v>284</v>
      </c>
      <c r="D25" s="12" t="s">
        <v>62</v>
      </c>
      <c r="E25" s="67" t="s">
        <v>7</v>
      </c>
      <c r="F25" s="76" t="str">
        <f>IF(Table2[[#This Row],[Result]]="NC","n","")</f>
        <v/>
      </c>
      <c r="G25" s="41" t="str">
        <f>IF(Table2[[#This Row],[Result]]="PC","n","")</f>
        <v/>
      </c>
      <c r="H25" s="77" t="str">
        <f>IF(Table2[[#This Row],[Result]]="C","n","")</f>
        <v>n</v>
      </c>
      <c r="I25" s="86"/>
    </row>
    <row r="26" spans="1:9" ht="30" customHeight="1" x14ac:dyDescent="0.25">
      <c r="A26" s="215"/>
      <c r="C26" s="37" t="s">
        <v>285</v>
      </c>
      <c r="D26" s="12" t="s">
        <v>171</v>
      </c>
      <c r="E26" s="67" t="s">
        <v>6</v>
      </c>
      <c r="F26" s="76" t="str">
        <f>IF(Table2[[#This Row],[Result]]="NC","n","")</f>
        <v/>
      </c>
      <c r="G26" s="41" t="str">
        <f>IF(Table2[[#This Row],[Result]]="PC","n","")</f>
        <v>n</v>
      </c>
      <c r="H26" s="77" t="str">
        <f>IF(Table2[[#This Row],[Result]]="C","n","")</f>
        <v/>
      </c>
      <c r="I26" s="86"/>
    </row>
    <row r="27" spans="1:9" ht="30" customHeight="1" x14ac:dyDescent="0.25">
      <c r="A27" s="215"/>
      <c r="C27" s="37" t="s">
        <v>286</v>
      </c>
      <c r="D27" s="12" t="s">
        <v>172</v>
      </c>
      <c r="E27" s="67" t="s">
        <v>7</v>
      </c>
      <c r="F27" s="76" t="str">
        <f>IF(Table2[[#This Row],[Result]]="NC","n","")</f>
        <v/>
      </c>
      <c r="G27" s="41" t="str">
        <f>IF(Table2[[#This Row],[Result]]="PC","n","")</f>
        <v/>
      </c>
      <c r="H27" s="77" t="str">
        <f>IF(Table2[[#This Row],[Result]]="C","n","")</f>
        <v>n</v>
      </c>
      <c r="I27" s="86"/>
    </row>
    <row r="28" spans="1:9" ht="30" customHeight="1" x14ac:dyDescent="0.25">
      <c r="A28" s="215"/>
      <c r="C28" s="37" t="s">
        <v>287</v>
      </c>
      <c r="D28" s="12" t="s">
        <v>13</v>
      </c>
      <c r="E28" s="67" t="s">
        <v>5</v>
      </c>
      <c r="F28" s="76" t="str">
        <f>IF(Table2[[#This Row],[Result]]="NC","n","")</f>
        <v>n</v>
      </c>
      <c r="G28" s="41" t="str">
        <f>IF(Table2[[#This Row],[Result]]="PC","n","")</f>
        <v/>
      </c>
      <c r="H28" s="77" t="str">
        <f>IF(Table2[[#This Row],[Result]]="C","n","")</f>
        <v/>
      </c>
      <c r="I28" s="86"/>
    </row>
    <row r="29" spans="1:9" ht="30" customHeight="1" x14ac:dyDescent="0.25">
      <c r="A29" s="215"/>
      <c r="C29" s="37" t="s">
        <v>288</v>
      </c>
      <c r="D29" s="12" t="s">
        <v>328</v>
      </c>
      <c r="E29" s="67" t="s">
        <v>7</v>
      </c>
      <c r="F29" s="76" t="str">
        <f>IF(Table2[[#This Row],[Result]]="NC","n","")</f>
        <v/>
      </c>
      <c r="G29" s="41" t="str">
        <f>IF(Table2[[#This Row],[Result]]="PC","n","")</f>
        <v/>
      </c>
      <c r="H29" s="77" t="str">
        <f>IF(Table2[[#This Row],[Result]]="C","n","")</f>
        <v>n</v>
      </c>
      <c r="I29" s="86"/>
    </row>
    <row r="30" spans="1:9" ht="30" customHeight="1" x14ac:dyDescent="0.25">
      <c r="A30" s="209" t="s">
        <v>169</v>
      </c>
      <c r="C30" s="37" t="s">
        <v>289</v>
      </c>
      <c r="D30" s="12" t="s">
        <v>63</v>
      </c>
      <c r="E30" s="67" t="s">
        <v>5</v>
      </c>
      <c r="F30" s="76" t="str">
        <f>IF(Table2[[#This Row],[Result]]="NC","n","")</f>
        <v>n</v>
      </c>
      <c r="G30" s="41" t="str">
        <f>IF(Table2[[#This Row],[Result]]="PC","n","")</f>
        <v/>
      </c>
      <c r="H30" s="77" t="str">
        <f>IF(Table2[[#This Row],[Result]]="C","n","")</f>
        <v/>
      </c>
      <c r="I30" s="86"/>
    </row>
    <row r="31" spans="1:9" ht="30" customHeight="1" x14ac:dyDescent="0.25">
      <c r="A31" s="210"/>
      <c r="C31" s="37" t="s">
        <v>290</v>
      </c>
      <c r="D31" s="12" t="s">
        <v>64</v>
      </c>
      <c r="E31" s="67" t="s">
        <v>5</v>
      </c>
      <c r="F31" s="76" t="str">
        <f>IF(Table2[[#This Row],[Result]]="NC","n","")</f>
        <v>n</v>
      </c>
      <c r="G31" s="41" t="str">
        <f>IF(Table2[[#This Row],[Result]]="PC","n","")</f>
        <v/>
      </c>
      <c r="H31" s="77" t="str">
        <f>IF(Table2[[#This Row],[Result]]="C","n","")</f>
        <v/>
      </c>
      <c r="I31" s="86"/>
    </row>
    <row r="32" spans="1:9" ht="30" customHeight="1" x14ac:dyDescent="0.25">
      <c r="A32" s="211"/>
      <c r="C32" s="37" t="s">
        <v>291</v>
      </c>
      <c r="D32" s="12" t="s">
        <v>173</v>
      </c>
      <c r="E32" s="67" t="s">
        <v>7</v>
      </c>
      <c r="F32" s="76" t="str">
        <f>IF(Table2[[#This Row],[Result]]="NC","n","")</f>
        <v/>
      </c>
      <c r="G32" s="41" t="str">
        <f>IF(Table2[[#This Row],[Result]]="PC","n","")</f>
        <v/>
      </c>
      <c r="H32" s="77" t="str">
        <f>IF(Table2[[#This Row],[Result]]="C","n","")</f>
        <v>n</v>
      </c>
      <c r="I32" s="86"/>
    </row>
    <row r="33" spans="1:9" ht="30" customHeight="1" x14ac:dyDescent="0.25">
      <c r="A33" s="209" t="s">
        <v>17</v>
      </c>
      <c r="C33" s="37" t="s">
        <v>292</v>
      </c>
      <c r="D33" s="12" t="s">
        <v>65</v>
      </c>
      <c r="E33" s="67" t="s">
        <v>5</v>
      </c>
      <c r="F33" s="76" t="str">
        <f>IF(Table2[[#This Row],[Result]]="NC","n","")</f>
        <v>n</v>
      </c>
      <c r="G33" s="41" t="str">
        <f>IF(Table2[[#This Row],[Result]]="PC","n","")</f>
        <v/>
      </c>
      <c r="H33" s="77" t="str">
        <f>IF(Table2[[#This Row],[Result]]="C","n","")</f>
        <v/>
      </c>
      <c r="I33" s="86"/>
    </row>
    <row r="34" spans="1:9" ht="30" customHeight="1" x14ac:dyDescent="0.25">
      <c r="A34" s="211"/>
      <c r="C34" s="37" t="s">
        <v>293</v>
      </c>
      <c r="D34" s="12" t="s">
        <v>329</v>
      </c>
      <c r="E34" s="67" t="s">
        <v>7</v>
      </c>
      <c r="F34" s="76" t="str">
        <f>IF(Table2[[#This Row],[Result]]="NC","n","")</f>
        <v/>
      </c>
      <c r="G34" s="41" t="str">
        <f>IF(Table2[[#This Row],[Result]]="PC","n","")</f>
        <v/>
      </c>
      <c r="H34" s="77" t="str">
        <f>IF(Table2[[#This Row],[Result]]="C","n","")</f>
        <v>n</v>
      </c>
      <c r="I34" s="86"/>
    </row>
    <row r="35" spans="1:9" ht="30" customHeight="1" x14ac:dyDescent="0.25">
      <c r="A35" s="209" t="s">
        <v>18</v>
      </c>
      <c r="C35" s="33" t="s">
        <v>294</v>
      </c>
      <c r="D35" s="12" t="s">
        <v>330</v>
      </c>
      <c r="E35" s="67" t="s">
        <v>6</v>
      </c>
      <c r="F35" s="89" t="str">
        <f>IF(Table2[[#This Row],[Result]]="NC","n","")</f>
        <v/>
      </c>
      <c r="G35" s="42" t="str">
        <f>IF(Table2[[#This Row],[Result]]="PC","n","")</f>
        <v>n</v>
      </c>
      <c r="H35" s="90" t="str">
        <f>IF(Table2[[#This Row],[Result]]="C","n","")</f>
        <v/>
      </c>
      <c r="I35" s="86"/>
    </row>
    <row r="36" spans="1:9" ht="30" customHeight="1" x14ac:dyDescent="0.25">
      <c r="A36" s="210"/>
      <c r="C36" s="33" t="s">
        <v>295</v>
      </c>
      <c r="D36" s="12" t="s">
        <v>175</v>
      </c>
      <c r="E36" s="67" t="s">
        <v>7</v>
      </c>
      <c r="F36" s="89" t="str">
        <f>IF(Table2[[#This Row],[Result]]="NC","n","")</f>
        <v/>
      </c>
      <c r="G36" s="42" t="str">
        <f>IF(Table2[[#This Row],[Result]]="PC","n","")</f>
        <v/>
      </c>
      <c r="H36" s="90" t="str">
        <f>IF(Table2[[#This Row],[Result]]="C","n","")</f>
        <v>n</v>
      </c>
      <c r="I36" s="86"/>
    </row>
    <row r="37" spans="1:9" ht="30" customHeight="1" x14ac:dyDescent="0.25">
      <c r="A37" s="210"/>
      <c r="C37" s="33" t="s">
        <v>296</v>
      </c>
      <c r="D37" s="12" t="s">
        <v>174</v>
      </c>
      <c r="E37" s="67" t="s">
        <v>7</v>
      </c>
      <c r="F37" s="89" t="str">
        <f>IF(Table2[[#This Row],[Result]]="NC","n","")</f>
        <v/>
      </c>
      <c r="G37" s="42" t="str">
        <f>IF(Table2[[#This Row],[Result]]="PC","n","")</f>
        <v/>
      </c>
      <c r="H37" s="90" t="str">
        <f>IF(Table2[[#This Row],[Result]]="C","n","")</f>
        <v>n</v>
      </c>
      <c r="I37" s="86"/>
    </row>
    <row r="38" spans="1:9" ht="30" customHeight="1" x14ac:dyDescent="0.25">
      <c r="A38" s="210"/>
      <c r="C38" s="33" t="s">
        <v>297</v>
      </c>
      <c r="D38" s="12" t="s">
        <v>137</v>
      </c>
      <c r="E38" s="67" t="s">
        <v>6</v>
      </c>
      <c r="F38" s="89" t="str">
        <f>IF(Table2[[#This Row],[Result]]="NC","n","")</f>
        <v/>
      </c>
      <c r="G38" s="42" t="str">
        <f>IF(Table2[[#This Row],[Result]]="PC","n","")</f>
        <v>n</v>
      </c>
      <c r="H38" s="90" t="str">
        <f>IF(Table2[[#This Row],[Result]]="C","n","")</f>
        <v/>
      </c>
      <c r="I38" s="86"/>
    </row>
    <row r="39" spans="1:9" ht="30" customHeight="1" x14ac:dyDescent="0.25">
      <c r="A39" s="210"/>
      <c r="C39" s="33" t="s">
        <v>298</v>
      </c>
      <c r="D39" s="12" t="s">
        <v>176</v>
      </c>
      <c r="E39" s="67" t="s">
        <v>7</v>
      </c>
      <c r="F39" s="89" t="str">
        <f>IF(Table2[[#This Row],[Result]]="NC","n","")</f>
        <v/>
      </c>
      <c r="G39" s="42" t="str">
        <f>IF(Table2[[#This Row],[Result]]="PC","n","")</f>
        <v/>
      </c>
      <c r="H39" s="90" t="str">
        <f>IF(Table2[[#This Row],[Result]]="C","n","")</f>
        <v>n</v>
      </c>
      <c r="I39" s="86"/>
    </row>
    <row r="40" spans="1:9" ht="30" customHeight="1" x14ac:dyDescent="0.25">
      <c r="A40" s="210"/>
      <c r="C40" s="33" t="s">
        <v>299</v>
      </c>
      <c r="D40" s="12" t="s">
        <v>138</v>
      </c>
      <c r="E40" s="67" t="s">
        <v>6</v>
      </c>
      <c r="F40" s="89" t="str">
        <f>IF(Table2[[#This Row],[Result]]="NC","n","")</f>
        <v/>
      </c>
      <c r="G40" s="42" t="str">
        <f>IF(Table2[[#This Row],[Result]]="PC","n","")</f>
        <v>n</v>
      </c>
      <c r="H40" s="90" t="str">
        <f>IF(Table2[[#This Row],[Result]]="C","n","")</f>
        <v/>
      </c>
      <c r="I40" s="86"/>
    </row>
    <row r="41" spans="1:9" ht="30" customHeight="1" x14ac:dyDescent="0.25">
      <c r="A41" s="211"/>
      <c r="C41" s="33" t="s">
        <v>300</v>
      </c>
      <c r="D41" s="12" t="s">
        <v>146</v>
      </c>
      <c r="E41" s="67" t="s">
        <v>7</v>
      </c>
      <c r="F41" s="89" t="str">
        <f>IF(Table2[[#This Row],[Result]]="NC","n","")</f>
        <v/>
      </c>
      <c r="G41" s="42" t="str">
        <f>IF(Table2[[#This Row],[Result]]="PC","n","")</f>
        <v/>
      </c>
      <c r="H41" s="90" t="str">
        <f>IF(Table2[[#This Row],[Result]]="C","n","")</f>
        <v>n</v>
      </c>
      <c r="I41" s="86"/>
    </row>
    <row r="42" spans="1:9" ht="30" customHeight="1" x14ac:dyDescent="0.25">
      <c r="A42" s="212" t="s">
        <v>15</v>
      </c>
      <c r="C42" s="37" t="s">
        <v>301</v>
      </c>
      <c r="D42" s="12" t="s">
        <v>57</v>
      </c>
      <c r="E42" s="67" t="s">
        <v>6</v>
      </c>
      <c r="F42" s="76" t="str">
        <f>IF(Table2[[#This Row],[Result]]="NC","n","")</f>
        <v/>
      </c>
      <c r="G42" s="41" t="str">
        <f>IF(Table2[[#This Row],[Result]]="PC","n","")</f>
        <v>n</v>
      </c>
      <c r="H42" s="77" t="str">
        <f>IF(Table2[[#This Row],[Result]]="C","n","")</f>
        <v/>
      </c>
      <c r="I42" s="86"/>
    </row>
    <row r="43" spans="1:9" ht="30" customHeight="1" x14ac:dyDescent="0.25">
      <c r="A43" s="213"/>
      <c r="C43" s="37" t="s">
        <v>302</v>
      </c>
      <c r="D43" s="12" t="s">
        <v>165</v>
      </c>
      <c r="E43" s="67" t="s">
        <v>7</v>
      </c>
      <c r="F43" s="76" t="str">
        <f>IF(Table2[[#This Row],[Result]]="NC","n","")</f>
        <v/>
      </c>
      <c r="G43" s="41" t="str">
        <f>IF(Table2[[#This Row],[Result]]="PC","n","")</f>
        <v/>
      </c>
      <c r="H43" s="77" t="str">
        <f>IF(Table2[[#This Row],[Result]]="C","n","")</f>
        <v>n</v>
      </c>
      <c r="I43" s="86"/>
    </row>
    <row r="44" spans="1:9" ht="30" customHeight="1" x14ac:dyDescent="0.25">
      <c r="A44" s="213"/>
      <c r="C44" s="33" t="s">
        <v>303</v>
      </c>
      <c r="D44" s="12" t="s">
        <v>166</v>
      </c>
      <c r="E44" s="67" t="s">
        <v>7</v>
      </c>
      <c r="F44" s="89" t="str">
        <f>IF(Table2[[#This Row],[Result]]="NC","n","")</f>
        <v/>
      </c>
      <c r="G44" s="42" t="str">
        <f>IF(Table2[[#This Row],[Result]]="PC","n","")</f>
        <v/>
      </c>
      <c r="H44" s="90" t="str">
        <f>IF(Table2[[#This Row],[Result]]="C","n","")</f>
        <v>n</v>
      </c>
      <c r="I44" s="86"/>
    </row>
    <row r="45" spans="1:9" ht="30" customHeight="1" x14ac:dyDescent="0.25">
      <c r="A45" s="213"/>
      <c r="C45" s="33" t="s">
        <v>304</v>
      </c>
      <c r="D45" s="14" t="s">
        <v>141</v>
      </c>
      <c r="E45" s="84" t="s">
        <v>5</v>
      </c>
      <c r="F45" s="89" t="str">
        <f>IF(Table2[[#This Row],[Result]]="NC","n","")</f>
        <v>n</v>
      </c>
      <c r="G45" s="42" t="str">
        <f>IF(Table2[[#This Row],[Result]]="PC","n","")</f>
        <v/>
      </c>
      <c r="H45" s="90" t="str">
        <f>IF(Table2[[#This Row],[Result]]="C","n","")</f>
        <v/>
      </c>
      <c r="I45" s="86"/>
    </row>
    <row r="46" spans="1:9" ht="30" customHeight="1" x14ac:dyDescent="0.25">
      <c r="A46" s="213"/>
      <c r="C46" s="33" t="s">
        <v>305</v>
      </c>
      <c r="D46" s="12" t="s">
        <v>58</v>
      </c>
      <c r="E46" s="67" t="s">
        <v>7</v>
      </c>
      <c r="F46" s="89" t="str">
        <f>IF(Table2[[#This Row],[Result]]="NC","n","")</f>
        <v/>
      </c>
      <c r="G46" s="42" t="str">
        <f>IF(Table2[[#This Row],[Result]]="PC","n","")</f>
        <v/>
      </c>
      <c r="H46" s="90" t="str">
        <f>IF(Table2[[#This Row],[Result]]="C","n","")</f>
        <v>n</v>
      </c>
      <c r="I46" s="86"/>
    </row>
    <row r="47" spans="1:9" ht="30" customHeight="1" x14ac:dyDescent="0.25">
      <c r="A47" s="213"/>
      <c r="C47" s="37" t="s">
        <v>306</v>
      </c>
      <c r="D47" s="12" t="s">
        <v>143</v>
      </c>
      <c r="E47" s="67" t="s">
        <v>7</v>
      </c>
      <c r="F47" s="76" t="str">
        <f>IF(Table2[[#This Row],[Result]]="NC","n","")</f>
        <v/>
      </c>
      <c r="G47" s="41" t="str">
        <f>IF(Table2[[#This Row],[Result]]="PC","n","")</f>
        <v/>
      </c>
      <c r="H47" s="77" t="str">
        <f>IF(Table2[[#This Row],[Result]]="C","n","")</f>
        <v>n</v>
      </c>
      <c r="I47" s="86"/>
    </row>
    <row r="48" spans="1:9" ht="30" customHeight="1" x14ac:dyDescent="0.25">
      <c r="A48" s="213"/>
      <c r="C48" s="37" t="s">
        <v>307</v>
      </c>
      <c r="D48" s="12" t="s">
        <v>59</v>
      </c>
      <c r="E48" s="67" t="s">
        <v>6</v>
      </c>
      <c r="F48" s="76" t="str">
        <f>IF(Table2[[#This Row],[Result]]="NC","n","")</f>
        <v/>
      </c>
      <c r="G48" s="41" t="str">
        <f>IF(Table2[[#This Row],[Result]]="PC","n","")</f>
        <v>n</v>
      </c>
      <c r="H48" s="77" t="str">
        <f>IF(Table2[[#This Row],[Result]]="C","n","")</f>
        <v/>
      </c>
      <c r="I48" s="86"/>
    </row>
    <row r="49" spans="1:9" ht="30" customHeight="1" x14ac:dyDescent="0.25">
      <c r="A49" s="214"/>
      <c r="C49" s="37" t="s">
        <v>308</v>
      </c>
      <c r="D49" s="12" t="s">
        <v>144</v>
      </c>
      <c r="E49" s="67" t="s">
        <v>7</v>
      </c>
      <c r="F49" s="76" t="str">
        <f>IF(Table2[[#This Row],[Result]]="NC","n","")</f>
        <v/>
      </c>
      <c r="G49" s="41" t="str">
        <f>IF(Table2[[#This Row],[Result]]="PC","n","")</f>
        <v/>
      </c>
      <c r="H49" s="77" t="str">
        <f>IF(Table2[[#This Row],[Result]]="C","n","")</f>
        <v>n</v>
      </c>
      <c r="I49" s="86"/>
    </row>
    <row r="50" spans="1:9" ht="30" customHeight="1" x14ac:dyDescent="0.25">
      <c r="A50" s="215" t="s">
        <v>32</v>
      </c>
      <c r="C50" s="33" t="s">
        <v>309</v>
      </c>
      <c r="D50" s="12" t="s">
        <v>150</v>
      </c>
      <c r="E50" s="67" t="s">
        <v>5</v>
      </c>
      <c r="F50" s="89" t="str">
        <f>IF(Table2[[#This Row],[Result]]="NC","n","")</f>
        <v>n</v>
      </c>
      <c r="G50" s="42" t="str">
        <f>IF(Table2[[#This Row],[Result]]="PC","n","")</f>
        <v/>
      </c>
      <c r="H50" s="90" t="str">
        <f>IF(Table2[[#This Row],[Result]]="C","n","")</f>
        <v/>
      </c>
      <c r="I50" s="86"/>
    </row>
    <row r="51" spans="1:9" ht="30" customHeight="1" x14ac:dyDescent="0.25">
      <c r="A51" s="215"/>
      <c r="C51" s="33" t="s">
        <v>310</v>
      </c>
      <c r="D51" s="14" t="s">
        <v>68</v>
      </c>
      <c r="E51" s="84" t="s">
        <v>7</v>
      </c>
      <c r="F51" s="89" t="str">
        <f>IF(Table2[[#This Row],[Result]]="NC","n","")</f>
        <v/>
      </c>
      <c r="G51" s="42" t="str">
        <f>IF(Table2[[#This Row],[Result]]="PC","n","")</f>
        <v/>
      </c>
      <c r="H51" s="90" t="str">
        <f>IF(Table2[[#This Row],[Result]]="C","n","")</f>
        <v>n</v>
      </c>
      <c r="I51" s="86"/>
    </row>
    <row r="52" spans="1:9" ht="30" customHeight="1" x14ac:dyDescent="0.25">
      <c r="A52" s="215"/>
      <c r="C52" s="33" t="s">
        <v>311</v>
      </c>
      <c r="D52" s="12" t="s">
        <v>331</v>
      </c>
      <c r="E52" s="67" t="s">
        <v>5</v>
      </c>
      <c r="F52" s="89" t="str">
        <f>IF(Table2[[#This Row],[Result]]="NC","n","")</f>
        <v>n</v>
      </c>
      <c r="G52" s="42" t="str">
        <f>IF(Table2[[#This Row],[Result]]="PC","n","")</f>
        <v/>
      </c>
      <c r="H52" s="90" t="str">
        <f>IF(Table2[[#This Row],[Result]]="C","n","")</f>
        <v/>
      </c>
      <c r="I52" s="86"/>
    </row>
    <row r="53" spans="1:9" ht="30" customHeight="1" x14ac:dyDescent="0.25">
      <c r="A53" s="209" t="s">
        <v>39</v>
      </c>
      <c r="C53" s="33" t="s">
        <v>312</v>
      </c>
      <c r="D53" s="12" t="s">
        <v>161</v>
      </c>
      <c r="E53" s="67" t="s">
        <v>5</v>
      </c>
      <c r="F53" s="89" t="str">
        <f>IF(Table2[[#This Row],[Result]]="NC","n","")</f>
        <v>n</v>
      </c>
      <c r="G53" s="42" t="str">
        <f>IF(Table2[[#This Row],[Result]]="PC","n","")</f>
        <v/>
      </c>
      <c r="H53" s="90" t="str">
        <f>IF(Table2[[#This Row],[Result]]="C","n","")</f>
        <v/>
      </c>
      <c r="I53" s="86"/>
    </row>
    <row r="54" spans="1:9" ht="30" customHeight="1" x14ac:dyDescent="0.25">
      <c r="A54" s="210"/>
      <c r="C54" s="33" t="s">
        <v>313</v>
      </c>
      <c r="D54" s="12" t="s">
        <v>178</v>
      </c>
      <c r="E54" s="67" t="s">
        <v>5</v>
      </c>
      <c r="F54" s="89" t="str">
        <f>IF(Table2[[#This Row],[Result]]="NC","n","")</f>
        <v>n</v>
      </c>
      <c r="G54" s="42" t="str">
        <f>IF(Table2[[#This Row],[Result]]="PC","n","")</f>
        <v/>
      </c>
      <c r="H54" s="90" t="str">
        <f>IF(Table2[[#This Row],[Result]]="C","n","")</f>
        <v/>
      </c>
      <c r="I54" s="86"/>
    </row>
    <row r="55" spans="1:9" ht="30" customHeight="1" x14ac:dyDescent="0.25">
      <c r="A55" s="210"/>
      <c r="C55" s="33" t="s">
        <v>314</v>
      </c>
      <c r="D55" s="14" t="s">
        <v>179</v>
      </c>
      <c r="E55" s="84" t="s">
        <v>7</v>
      </c>
      <c r="F55" s="89" t="str">
        <f>IF(Table2[[#This Row],[Result]]="NC","n","")</f>
        <v/>
      </c>
      <c r="G55" s="42" t="str">
        <f>IF(Table2[[#This Row],[Result]]="PC","n","")</f>
        <v/>
      </c>
      <c r="H55" s="90" t="str">
        <f>IF(Table2[[#This Row],[Result]]="C","n","")</f>
        <v>n</v>
      </c>
      <c r="I55" s="86"/>
    </row>
    <row r="56" spans="1:9" ht="30" customHeight="1" thickBot="1" x14ac:dyDescent="0.3">
      <c r="A56" s="211"/>
      <c r="C56" s="34" t="s">
        <v>315</v>
      </c>
      <c r="D56" s="30" t="s">
        <v>151</v>
      </c>
      <c r="E56" s="84" t="s">
        <v>6</v>
      </c>
      <c r="F56" s="92" t="str">
        <f>IF(Table2[[#This Row],[Result]]="NC","n","")</f>
        <v/>
      </c>
      <c r="G56" s="93" t="str">
        <f>IF(Table2[[#This Row],[Result]]="PC","n","")</f>
        <v>n</v>
      </c>
      <c r="H56" s="94" t="str">
        <f>IF(Table2[[#This Row],[Result]]="C","n","")</f>
        <v/>
      </c>
      <c r="I56" s="31"/>
    </row>
    <row r="57" spans="1:9" ht="15" customHeight="1" thickBot="1" x14ac:dyDescent="0.3">
      <c r="D57" s="207" t="s">
        <v>257</v>
      </c>
      <c r="E57" s="208"/>
      <c r="F57" s="124">
        <f>COUNTIF(F6:F56,"n")</f>
        <v>12</v>
      </c>
      <c r="G57" s="125">
        <f>COUNTIF(G6:G56,"n")</f>
        <v>13</v>
      </c>
      <c r="H57" s="126">
        <f>COUNTIF(H6:H56,"n")</f>
        <v>25</v>
      </c>
    </row>
    <row r="58" spans="1:9" ht="15" customHeight="1" thickTop="1" thickBot="1" x14ac:dyDescent="0.3">
      <c r="D58" s="207" t="s">
        <v>258</v>
      </c>
      <c r="E58" s="208"/>
      <c r="F58" s="105">
        <f>F57*0</f>
        <v>0</v>
      </c>
      <c r="G58" s="106">
        <f>G57*1</f>
        <v>13</v>
      </c>
      <c r="H58" s="107">
        <f>H57*3</f>
        <v>75</v>
      </c>
    </row>
    <row r="59" spans="1:9" x14ac:dyDescent="0.25">
      <c r="D59" s="207" t="s">
        <v>1</v>
      </c>
      <c r="E59" s="207"/>
      <c r="F59" s="36">
        <f>SUM(F58:H58)</f>
        <v>88</v>
      </c>
      <c r="G59" s="40" t="s">
        <v>316</v>
      </c>
    </row>
  </sheetData>
  <sheetProtection algorithmName="SHA-512" hashValue="eXTDPmKVl0y0E6ZNNuZuQClSrUPGMDf0rMOOY7UEcSfcLVN+pBLtPAiSSZ9l+VeBG01bZZJLsWUugJwzFWU1Qg==" saltValue="gTWF2CVho/xlY6riqu1jJA==" spinCount="100000" sheet="1" objects="1" scenarios="1" selectLockedCells="1"/>
  <mergeCells count="13">
    <mergeCell ref="D2:H3"/>
    <mergeCell ref="D57:E57"/>
    <mergeCell ref="D58:E58"/>
    <mergeCell ref="D59:E59"/>
    <mergeCell ref="A6:A10"/>
    <mergeCell ref="A30:A32"/>
    <mergeCell ref="A42:A49"/>
    <mergeCell ref="A25:A29"/>
    <mergeCell ref="A50:A52"/>
    <mergeCell ref="A11:A24"/>
    <mergeCell ref="A33:A34"/>
    <mergeCell ref="A35:A41"/>
    <mergeCell ref="A53:A56"/>
  </mergeCells>
  <dataValidations xWindow="872" yWindow="479" count="1">
    <dataValidation type="list" allowBlank="1" showInputMessage="1" showErrorMessage="1" prompt="Please enter either NC for a Non Conformance, PC for a Partial Conformance or C for a Conformance" sqref="E6:E11 E13:E56">
      <formula1>Result</formula1>
    </dataValidation>
  </dataValidations>
  <pageMargins left="0.7" right="0.7" top="0.75" bottom="0.75" header="0.3" footer="0.3"/>
  <drawing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showGridLines="0" topLeftCell="A7" zoomScaleNormal="100" zoomScaleSheetLayoutView="100" workbookViewId="0">
      <selection activeCell="E10" sqref="E10"/>
    </sheetView>
  </sheetViews>
  <sheetFormatPr defaultRowHeight="15" x14ac:dyDescent="0.25"/>
  <cols>
    <col min="1" max="1" width="7.7109375" style="23" customWidth="1"/>
    <col min="2" max="2" width="1.7109375" customWidth="1"/>
    <col min="3" max="3" width="6.7109375" style="2" customWidth="1"/>
    <col min="4" max="4" width="100.7109375" customWidth="1"/>
    <col min="5" max="8" width="7.7109375" customWidth="1"/>
    <col min="9" max="9" width="100.7109375" customWidth="1"/>
  </cols>
  <sheetData>
    <row r="1" spans="1:9" ht="15" customHeight="1" x14ac:dyDescent="0.25"/>
    <row r="2" spans="1:9" ht="15" customHeight="1" x14ac:dyDescent="0.25">
      <c r="D2" s="206" t="s">
        <v>353</v>
      </c>
      <c r="E2" s="206"/>
      <c r="F2" s="206"/>
      <c r="G2" s="206"/>
      <c r="H2" s="206"/>
    </row>
    <row r="3" spans="1:9" ht="15" customHeight="1" x14ac:dyDescent="0.25">
      <c r="D3" s="206"/>
      <c r="E3" s="206"/>
      <c r="F3" s="206"/>
      <c r="G3" s="206"/>
      <c r="H3" s="206"/>
    </row>
    <row r="4" spans="1:9" ht="15" customHeight="1" x14ac:dyDescent="0.25">
      <c r="D4" s="2"/>
      <c r="E4" s="3"/>
    </row>
    <row r="5" spans="1:9" ht="30" customHeight="1" x14ac:dyDescent="0.25">
      <c r="C5" s="65" t="s">
        <v>0</v>
      </c>
      <c r="D5" s="5" t="s">
        <v>4</v>
      </c>
      <c r="E5" s="16" t="s">
        <v>332</v>
      </c>
      <c r="F5" s="87" t="s">
        <v>5</v>
      </c>
      <c r="G5" s="9" t="s">
        <v>6</v>
      </c>
      <c r="H5" s="88" t="s">
        <v>7</v>
      </c>
      <c r="I5" s="95" t="s">
        <v>56</v>
      </c>
    </row>
    <row r="6" spans="1:9" s="1" customFormat="1" ht="30" customHeight="1" x14ac:dyDescent="0.25">
      <c r="A6" s="215" t="s">
        <v>95</v>
      </c>
      <c r="C6" s="37" t="s">
        <v>333</v>
      </c>
      <c r="D6" s="7" t="s">
        <v>96</v>
      </c>
      <c r="E6" s="67" t="s">
        <v>7</v>
      </c>
      <c r="F6" s="109" t="str">
        <f>IF(Table4[[#This Row],[Result]]="NC","n","")</f>
        <v/>
      </c>
      <c r="G6" s="41" t="str">
        <f>IF(Table4[[#This Row],[Result]]="pC","n","")</f>
        <v/>
      </c>
      <c r="H6" s="77" t="str">
        <f>IF(Table4[[#This Row],[Result]]="C","n","")</f>
        <v>n</v>
      </c>
      <c r="I6" s="96"/>
    </row>
    <row r="7" spans="1:9" s="1" customFormat="1" ht="30" customHeight="1" x14ac:dyDescent="0.25">
      <c r="A7" s="215"/>
      <c r="C7" s="37" t="s">
        <v>334</v>
      </c>
      <c r="D7" s="7" t="s">
        <v>97</v>
      </c>
      <c r="E7" s="67" t="s">
        <v>7</v>
      </c>
      <c r="F7" s="76" t="str">
        <f>IF(Table4[[#This Row],[Result]]="NC","n","")</f>
        <v/>
      </c>
      <c r="G7" s="41" t="str">
        <f>IF(Table4[[#This Row],[Result]]="pC","n","")</f>
        <v/>
      </c>
      <c r="H7" s="77" t="str">
        <f>IF(Table4[[#This Row],[Result]]="C","n","")</f>
        <v>n</v>
      </c>
      <c r="I7" s="96"/>
    </row>
    <row r="8" spans="1:9" s="1" customFormat="1" ht="30" customHeight="1" x14ac:dyDescent="0.25">
      <c r="A8" s="215"/>
      <c r="C8" s="37" t="s">
        <v>335</v>
      </c>
      <c r="D8" s="7" t="s">
        <v>193</v>
      </c>
      <c r="E8" s="67" t="s">
        <v>5</v>
      </c>
      <c r="F8" s="76" t="str">
        <f>IF(Table4[[#This Row],[Result]]="NC","n","")</f>
        <v>n</v>
      </c>
      <c r="G8" s="41" t="str">
        <f>IF(Table4[[#This Row],[Result]]="pC","n","")</f>
        <v/>
      </c>
      <c r="H8" s="77" t="str">
        <f>IF(Table4[[#This Row],[Result]]="C","n","")</f>
        <v/>
      </c>
      <c r="I8" s="96"/>
    </row>
    <row r="9" spans="1:9" s="1" customFormat="1" ht="30" customHeight="1" x14ac:dyDescent="0.25">
      <c r="A9" s="215" t="s">
        <v>94</v>
      </c>
      <c r="C9" s="37" t="s">
        <v>336</v>
      </c>
      <c r="D9" s="7" t="s">
        <v>98</v>
      </c>
      <c r="E9" s="67" t="s">
        <v>5</v>
      </c>
      <c r="F9" s="76" t="str">
        <f>IF(Table4[[#This Row],[Result]]="NC","n","")</f>
        <v>n</v>
      </c>
      <c r="G9" s="41" t="str">
        <f>IF(Table4[[#This Row],[Result]]="pC","n","")</f>
        <v/>
      </c>
      <c r="H9" s="77" t="str">
        <f>IF(Table4[[#This Row],[Result]]="C","n","")</f>
        <v/>
      </c>
      <c r="I9" s="96"/>
    </row>
    <row r="10" spans="1:9" s="1" customFormat="1" ht="30" customHeight="1" x14ac:dyDescent="0.25">
      <c r="A10" s="215"/>
      <c r="C10" s="37" t="s">
        <v>337</v>
      </c>
      <c r="D10" s="7" t="s">
        <v>99</v>
      </c>
      <c r="E10" s="67" t="s">
        <v>5</v>
      </c>
      <c r="F10" s="76" t="str">
        <f>IF(Table4[[#This Row],[Result]]="NC","n","")</f>
        <v>n</v>
      </c>
      <c r="G10" s="41" t="str">
        <f>IF(Table4[[#This Row],[Result]]="pC","n","")</f>
        <v/>
      </c>
      <c r="H10" s="77" t="str">
        <f>IF(Table4[[#This Row],[Result]]="C","n","")</f>
        <v/>
      </c>
      <c r="I10" s="96"/>
    </row>
    <row r="11" spans="1:9" s="1" customFormat="1" ht="30" customHeight="1" x14ac:dyDescent="0.25">
      <c r="A11" s="215"/>
      <c r="C11" s="37" t="s">
        <v>338</v>
      </c>
      <c r="D11" s="7" t="s">
        <v>100</v>
      </c>
      <c r="E11" s="67" t="s">
        <v>7</v>
      </c>
      <c r="F11" s="76" t="str">
        <f>IF(Table4[[#This Row],[Result]]="NC","n","")</f>
        <v/>
      </c>
      <c r="G11" s="41" t="str">
        <f>IF(Table4[[#This Row],[Result]]="pC","n","")</f>
        <v/>
      </c>
      <c r="H11" s="77" t="str">
        <f>IF(Table4[[#This Row],[Result]]="C","n","")</f>
        <v>n</v>
      </c>
      <c r="I11" s="96"/>
    </row>
    <row r="12" spans="1:9" s="1" customFormat="1" ht="30" customHeight="1" x14ac:dyDescent="0.25">
      <c r="A12" s="215"/>
      <c r="C12" s="37" t="s">
        <v>339</v>
      </c>
      <c r="D12" s="7" t="s">
        <v>507</v>
      </c>
      <c r="E12" s="67" t="s">
        <v>6</v>
      </c>
      <c r="F12" s="76" t="str">
        <f>IF(Table4[[#This Row],[Result]]="NC","n","")</f>
        <v/>
      </c>
      <c r="G12" s="41" t="str">
        <f>IF(Table4[[#This Row],[Result]]="pC","n","")</f>
        <v>n</v>
      </c>
      <c r="H12" s="77" t="str">
        <f>IF(Table4[[#This Row],[Result]]="C","n","")</f>
        <v/>
      </c>
      <c r="I12" s="96"/>
    </row>
    <row r="13" spans="1:9" s="1" customFormat="1" ht="30" customHeight="1" x14ac:dyDescent="0.25">
      <c r="A13" s="215" t="s">
        <v>104</v>
      </c>
      <c r="C13" s="37" t="s">
        <v>340</v>
      </c>
      <c r="D13" s="7" t="s">
        <v>194</v>
      </c>
      <c r="E13" s="67" t="s">
        <v>7</v>
      </c>
      <c r="F13" s="76" t="str">
        <f>IF(Table4[[#This Row],[Result]]="NC","n","")</f>
        <v/>
      </c>
      <c r="G13" s="41" t="str">
        <f>IF(Table4[[#This Row],[Result]]="pC","n","")</f>
        <v/>
      </c>
      <c r="H13" s="77" t="str">
        <f>IF(Table4[[#This Row],[Result]]="C","n","")</f>
        <v>n</v>
      </c>
      <c r="I13" s="96"/>
    </row>
    <row r="14" spans="1:9" s="1" customFormat="1" ht="30" customHeight="1" x14ac:dyDescent="0.25">
      <c r="A14" s="215"/>
      <c r="C14" s="37" t="s">
        <v>341</v>
      </c>
      <c r="D14" s="7" t="s">
        <v>195</v>
      </c>
      <c r="E14" s="67" t="s">
        <v>7</v>
      </c>
      <c r="F14" s="76" t="str">
        <f>IF(Table4[[#This Row],[Result]]="NC","n","")</f>
        <v/>
      </c>
      <c r="G14" s="41" t="str">
        <f>IF(Table4[[#This Row],[Result]]="pC","n","")</f>
        <v/>
      </c>
      <c r="H14" s="77" t="str">
        <f>IF(Table4[[#This Row],[Result]]="C","n","")</f>
        <v>n</v>
      </c>
      <c r="I14" s="96"/>
    </row>
    <row r="15" spans="1:9" s="1" customFormat="1" ht="30" customHeight="1" x14ac:dyDescent="0.25">
      <c r="A15" s="215"/>
      <c r="C15" s="37" t="s">
        <v>342</v>
      </c>
      <c r="D15" s="7" t="s">
        <v>101</v>
      </c>
      <c r="E15" s="67" t="s">
        <v>5</v>
      </c>
      <c r="F15" s="76" t="str">
        <f>IF(Table4[[#This Row],[Result]]="NC","n","")</f>
        <v>n</v>
      </c>
      <c r="G15" s="41" t="str">
        <f>IF(Table4[[#This Row],[Result]]="pC","n","")</f>
        <v/>
      </c>
      <c r="H15" s="77" t="str">
        <f>IF(Table4[[#This Row],[Result]]="C","n","")</f>
        <v/>
      </c>
      <c r="I15" s="96"/>
    </row>
    <row r="16" spans="1:9" s="1" customFormat="1" ht="30" customHeight="1" x14ac:dyDescent="0.25">
      <c r="A16" s="215"/>
      <c r="C16" s="37" t="s">
        <v>343</v>
      </c>
      <c r="D16" s="7" t="s">
        <v>508</v>
      </c>
      <c r="E16" s="67" t="s">
        <v>5</v>
      </c>
      <c r="F16" s="76" t="str">
        <f>IF(Table4[[#This Row],[Result]]="NC","n","")</f>
        <v>n</v>
      </c>
      <c r="G16" s="41" t="str">
        <f>IF(Table4[[#This Row],[Result]]="pC","n","")</f>
        <v/>
      </c>
      <c r="H16" s="77" t="str">
        <f>IF(Table4[[#This Row],[Result]]="C","n","")</f>
        <v/>
      </c>
      <c r="I16" s="96"/>
    </row>
    <row r="17" spans="1:9" s="1" customFormat="1" ht="30" customHeight="1" x14ac:dyDescent="0.25">
      <c r="A17" s="215"/>
      <c r="C17" s="37" t="s">
        <v>344</v>
      </c>
      <c r="D17" s="7" t="s">
        <v>196</v>
      </c>
      <c r="E17" s="67" t="s">
        <v>5</v>
      </c>
      <c r="F17" s="76" t="str">
        <f>IF(Table4[[#This Row],[Result]]="NC","n","")</f>
        <v>n</v>
      </c>
      <c r="G17" s="41" t="str">
        <f>IF(Table4[[#This Row],[Result]]="pC","n","")</f>
        <v/>
      </c>
      <c r="H17" s="77" t="str">
        <f>IF(Table4[[#This Row],[Result]]="C","n","")</f>
        <v/>
      </c>
      <c r="I17" s="96"/>
    </row>
    <row r="18" spans="1:9" s="1" customFormat="1" ht="30" customHeight="1" x14ac:dyDescent="0.25">
      <c r="A18" s="215"/>
      <c r="C18" s="37" t="s">
        <v>345</v>
      </c>
      <c r="D18" s="7" t="s">
        <v>102</v>
      </c>
      <c r="E18" s="67" t="s">
        <v>7</v>
      </c>
      <c r="F18" s="76" t="str">
        <f>IF(Table4[[#This Row],[Result]]="NC","n","")</f>
        <v/>
      </c>
      <c r="G18" s="41" t="str">
        <f>IF(Table4[[#This Row],[Result]]="pC","n","")</f>
        <v/>
      </c>
      <c r="H18" s="77" t="str">
        <f>IF(Table4[[#This Row],[Result]]="C","n","")</f>
        <v>n</v>
      </c>
      <c r="I18" s="96"/>
    </row>
    <row r="19" spans="1:9" s="1" customFormat="1" ht="30" customHeight="1" x14ac:dyDescent="0.25">
      <c r="A19" s="215"/>
      <c r="C19" s="37" t="s">
        <v>346</v>
      </c>
      <c r="D19" s="7" t="s">
        <v>103</v>
      </c>
      <c r="E19" s="67" t="s">
        <v>5</v>
      </c>
      <c r="F19" s="76" t="str">
        <f>IF(Table4[[#This Row],[Result]]="NC","n","")</f>
        <v>n</v>
      </c>
      <c r="G19" s="41" t="str">
        <f>IF(Table4[[#This Row],[Result]]="pC","n","")</f>
        <v/>
      </c>
      <c r="H19" s="77" t="str">
        <f>IF(Table4[[#This Row],[Result]]="C","n","")</f>
        <v/>
      </c>
      <c r="I19" s="96"/>
    </row>
    <row r="20" spans="1:9" s="1" customFormat="1" ht="30" customHeight="1" x14ac:dyDescent="0.25">
      <c r="A20" s="209" t="s">
        <v>93</v>
      </c>
      <c r="C20" s="37" t="s">
        <v>347</v>
      </c>
      <c r="D20" s="7" t="s">
        <v>197</v>
      </c>
      <c r="E20" s="67" t="s">
        <v>7</v>
      </c>
      <c r="F20" s="76" t="str">
        <f>IF(Table4[[#This Row],[Result]]="NC","n","")</f>
        <v/>
      </c>
      <c r="G20" s="41" t="str">
        <f>IF(Table4[[#This Row],[Result]]="pC","n","")</f>
        <v/>
      </c>
      <c r="H20" s="77" t="str">
        <f>IF(Table4[[#This Row],[Result]]="C","n","")</f>
        <v>n</v>
      </c>
      <c r="I20" s="96"/>
    </row>
    <row r="21" spans="1:9" s="1" customFormat="1" ht="30" customHeight="1" x14ac:dyDescent="0.25">
      <c r="A21" s="210"/>
      <c r="C21" s="37" t="s">
        <v>348</v>
      </c>
      <c r="D21" s="7" t="s">
        <v>92</v>
      </c>
      <c r="E21" s="67" t="s">
        <v>6</v>
      </c>
      <c r="F21" s="76" t="str">
        <f>IF(Table4[[#This Row],[Result]]="NC","n","")</f>
        <v/>
      </c>
      <c r="G21" s="41" t="str">
        <f>IF(Table4[[#This Row],[Result]]="pC","n","")</f>
        <v>n</v>
      </c>
      <c r="H21" s="77" t="str">
        <f>IF(Table4[[#This Row],[Result]]="C","n","")</f>
        <v/>
      </c>
      <c r="I21" s="96"/>
    </row>
    <row r="22" spans="1:9" s="1" customFormat="1" ht="30" customHeight="1" x14ac:dyDescent="0.25">
      <c r="A22" s="211"/>
      <c r="C22" s="37" t="s">
        <v>349</v>
      </c>
      <c r="D22" s="7" t="s">
        <v>198</v>
      </c>
      <c r="E22" s="67" t="s">
        <v>7</v>
      </c>
      <c r="F22" s="76" t="str">
        <f>IF(Table4[[#This Row],[Result]]="NC","n","")</f>
        <v/>
      </c>
      <c r="G22" s="41" t="str">
        <f>IF(Table4[[#This Row],[Result]]="pC","n","")</f>
        <v/>
      </c>
      <c r="H22" s="77" t="str">
        <f>IF(Table4[[#This Row],[Result]]="C","n","")</f>
        <v>n</v>
      </c>
      <c r="I22" s="96"/>
    </row>
    <row r="23" spans="1:9" s="1" customFormat="1" ht="30" customHeight="1" x14ac:dyDescent="0.25">
      <c r="A23" s="215" t="s">
        <v>89</v>
      </c>
      <c r="C23" s="37" t="s">
        <v>350</v>
      </c>
      <c r="D23" s="7" t="s">
        <v>91</v>
      </c>
      <c r="E23" s="67" t="s">
        <v>6</v>
      </c>
      <c r="F23" s="76" t="str">
        <f>IF(Table4[[#This Row],[Result]]="NC","n","")</f>
        <v/>
      </c>
      <c r="G23" s="41" t="str">
        <f>IF(Table4[[#This Row],[Result]]="pC","n","")</f>
        <v>n</v>
      </c>
      <c r="H23" s="77" t="str">
        <f>IF(Table4[[#This Row],[Result]]="C","n","")</f>
        <v/>
      </c>
      <c r="I23" s="96"/>
    </row>
    <row r="24" spans="1:9" s="1" customFormat="1" ht="30" customHeight="1" x14ac:dyDescent="0.25">
      <c r="A24" s="215"/>
      <c r="C24" s="66" t="s">
        <v>351</v>
      </c>
      <c r="D24" s="17" t="s">
        <v>90</v>
      </c>
      <c r="E24" s="67" t="s">
        <v>6</v>
      </c>
      <c r="F24" s="98" t="str">
        <f>IF(Table4[[#This Row],[Result]]="NC","n","")</f>
        <v/>
      </c>
      <c r="G24" s="99" t="str">
        <f>IF(Table4[[#This Row],[Result]]="pC","n","")</f>
        <v>n</v>
      </c>
      <c r="H24" s="100" t="str">
        <f>IF(Table4[[#This Row],[Result]]="C","n","")</f>
        <v/>
      </c>
      <c r="I24" s="97"/>
    </row>
    <row r="25" spans="1:9" ht="15.75" thickBot="1" x14ac:dyDescent="0.3">
      <c r="D25" s="207" t="s">
        <v>257</v>
      </c>
      <c r="E25" s="207"/>
      <c r="F25" s="102">
        <f>COUNTIF(Table4[NC],"n")</f>
        <v>7</v>
      </c>
      <c r="G25" s="103">
        <f>COUNTIF(Table4[PC],"n")</f>
        <v>4</v>
      </c>
      <c r="H25" s="104">
        <f>COUNTIF(Table4[C],"n")</f>
        <v>8</v>
      </c>
    </row>
    <row r="26" spans="1:9" ht="16.5" thickTop="1" thickBot="1" x14ac:dyDescent="0.3">
      <c r="D26" s="207" t="s">
        <v>258</v>
      </c>
      <c r="E26" s="207"/>
      <c r="F26" s="105">
        <f>F25*0</f>
        <v>0</v>
      </c>
      <c r="G26" s="106">
        <f>G25*1</f>
        <v>4</v>
      </c>
      <c r="H26" s="107">
        <f>H25*3</f>
        <v>24</v>
      </c>
    </row>
    <row r="27" spans="1:9" x14ac:dyDescent="0.25">
      <c r="D27" s="207" t="s">
        <v>1</v>
      </c>
      <c r="E27" s="207"/>
      <c r="F27" s="101">
        <f>SUM(F26:H26)</f>
        <v>28</v>
      </c>
      <c r="G27" s="108" t="s">
        <v>352</v>
      </c>
    </row>
  </sheetData>
  <sheetProtection algorithmName="SHA-512" hashValue="3ckfxzXQPyZSlPYAzHIx/hr5C5RdEBlfoetnEgJOei3c332ROKP8qJmMIpzcL9a2L77w7Gekqmx36kOYDhGg4w==" saltValue="i9dA5mLRvw6M8xoyPbQZKA==" spinCount="100000" sheet="1" objects="1" scenarios="1" selectLockedCells="1"/>
  <mergeCells count="9">
    <mergeCell ref="D25:E25"/>
    <mergeCell ref="D26:E26"/>
    <mergeCell ref="D27:E27"/>
    <mergeCell ref="D2:H3"/>
    <mergeCell ref="A23:A24"/>
    <mergeCell ref="A9:A12"/>
    <mergeCell ref="A6:A8"/>
    <mergeCell ref="A13:A19"/>
    <mergeCell ref="A20:A22"/>
  </mergeCells>
  <dataValidations count="1">
    <dataValidation type="list" allowBlank="1" showInputMessage="1" showErrorMessage="1" prompt="Please enter either NC for a Non Conformance, PC for a Partial Conformance or C for a Conformance" sqref="E6:E24">
      <formula1>Result</formula1>
    </dataValidation>
  </dataValidations>
  <pageMargins left="0.70866141732283472" right="0.70866141732283472" top="0.74803149606299213" bottom="0.74803149606299213" header="0.31496062992125984" footer="0.31496062992125984"/>
  <pageSetup paperSize="9" orientation="portrait" horizontalDpi="0" verticalDpi="0" r:id="rId1"/>
  <drawing r:id="rId2"/>
  <legacyDrawing r:id="rId3"/>
  <tableParts count="1">
    <tablePart r:id="rId4"/>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23"/>
  <sheetViews>
    <sheetView showGridLines="0" zoomScaleNormal="100" workbookViewId="0">
      <selection activeCell="E7" sqref="E7"/>
    </sheetView>
  </sheetViews>
  <sheetFormatPr defaultRowHeight="15" x14ac:dyDescent="0.25"/>
  <cols>
    <col min="1" max="1" width="7.7109375" style="13" customWidth="1"/>
    <col min="2" max="2" width="1.7109375" customWidth="1"/>
    <col min="3" max="3" width="6.7109375" customWidth="1"/>
    <col min="4" max="4" width="100.7109375" customWidth="1"/>
    <col min="5" max="8" width="7.7109375" customWidth="1"/>
    <col min="9" max="9" width="100.7109375" customWidth="1"/>
  </cols>
  <sheetData>
    <row r="2" spans="1:9" x14ac:dyDescent="0.25">
      <c r="D2" s="206" t="s">
        <v>369</v>
      </c>
      <c r="E2" s="206"/>
      <c r="F2" s="206"/>
      <c r="G2" s="206"/>
      <c r="H2" s="206"/>
    </row>
    <row r="3" spans="1:9" x14ac:dyDescent="0.25">
      <c r="D3" s="206"/>
      <c r="E3" s="206"/>
      <c r="F3" s="206"/>
      <c r="G3" s="206"/>
      <c r="H3" s="206"/>
    </row>
    <row r="4" spans="1:9" ht="15.75" thickBot="1" x14ac:dyDescent="0.3"/>
    <row r="5" spans="1:9" ht="30" customHeight="1" x14ac:dyDescent="0.25">
      <c r="C5" s="15" t="s">
        <v>0</v>
      </c>
      <c r="D5" s="35" t="s">
        <v>4</v>
      </c>
      <c r="E5" s="16" t="s">
        <v>332</v>
      </c>
      <c r="F5" s="112" t="s">
        <v>5</v>
      </c>
      <c r="G5" s="113" t="s">
        <v>6</v>
      </c>
      <c r="H5" s="114" t="s">
        <v>7</v>
      </c>
      <c r="I5" s="85" t="s">
        <v>56</v>
      </c>
    </row>
    <row r="6" spans="1:9" ht="30" customHeight="1" x14ac:dyDescent="0.25">
      <c r="A6" s="209" t="s">
        <v>29</v>
      </c>
      <c r="C6" s="33" t="s">
        <v>354</v>
      </c>
      <c r="D6" s="7" t="s">
        <v>14</v>
      </c>
      <c r="E6" s="46" t="s">
        <v>7</v>
      </c>
      <c r="F6" s="89" t="str">
        <f>IF(Table10[[#This Row],[Result]]="NC","n","")</f>
        <v/>
      </c>
      <c r="G6" s="133" t="str">
        <f>IF(Table10[[#This Row],[Result]]="PC","n","")</f>
        <v/>
      </c>
      <c r="H6" s="90" t="str">
        <f>IF(Table10[[#This Row],[Result]]="C","n","")</f>
        <v>n</v>
      </c>
      <c r="I6" s="110"/>
    </row>
    <row r="7" spans="1:9" ht="30" customHeight="1" x14ac:dyDescent="0.25">
      <c r="A7" s="211"/>
      <c r="C7" s="33" t="s">
        <v>355</v>
      </c>
      <c r="D7" s="12" t="s">
        <v>105</v>
      </c>
      <c r="E7" s="46" t="s">
        <v>6</v>
      </c>
      <c r="F7" s="89" t="str">
        <f>IF(Table10[[#This Row],[Result]]="NC","n","")</f>
        <v/>
      </c>
      <c r="G7" s="42" t="str">
        <f>IF(Table10[[#This Row],[Result]]="PC","n","")</f>
        <v>n</v>
      </c>
      <c r="H7" s="90" t="str">
        <f>IF(Table10[[#This Row],[Result]]="C","n","")</f>
        <v/>
      </c>
      <c r="I7" s="110"/>
    </row>
    <row r="8" spans="1:9" ht="30" customHeight="1" x14ac:dyDescent="0.25">
      <c r="A8" s="215" t="s">
        <v>30</v>
      </c>
      <c r="C8" s="33" t="s">
        <v>356</v>
      </c>
      <c r="D8" s="12" t="s">
        <v>199</v>
      </c>
      <c r="E8" s="46" t="s">
        <v>7</v>
      </c>
      <c r="F8" s="89" t="str">
        <f>IF(Table10[[#This Row],[Result]]="NC","n","")</f>
        <v/>
      </c>
      <c r="G8" s="42" t="str">
        <f>IF(Table10[[#This Row],[Result]]="PC","n","")</f>
        <v/>
      </c>
      <c r="H8" s="90" t="str">
        <f>IF(Table10[[#This Row],[Result]]="C","n","")</f>
        <v>n</v>
      </c>
      <c r="I8" s="110"/>
    </row>
    <row r="9" spans="1:9" ht="30" customHeight="1" x14ac:dyDescent="0.25">
      <c r="A9" s="215"/>
      <c r="C9" s="33" t="s">
        <v>357</v>
      </c>
      <c r="D9" s="12" t="s">
        <v>200</v>
      </c>
      <c r="E9" s="46" t="s">
        <v>7</v>
      </c>
      <c r="F9" s="89" t="str">
        <f>IF(Table10[[#This Row],[Result]]="NC","n","")</f>
        <v/>
      </c>
      <c r="G9" s="42" t="str">
        <f>IF(Table10[[#This Row],[Result]]="PC","n","")</f>
        <v/>
      </c>
      <c r="H9" s="90" t="str">
        <f>IF(Table10[[#This Row],[Result]]="C","n","")</f>
        <v>n</v>
      </c>
      <c r="I9" s="110"/>
    </row>
    <row r="10" spans="1:9" ht="30" customHeight="1" x14ac:dyDescent="0.25">
      <c r="A10" s="215"/>
      <c r="C10" s="33" t="s">
        <v>358</v>
      </c>
      <c r="D10" s="7" t="s">
        <v>106</v>
      </c>
      <c r="E10" s="46" t="s">
        <v>6</v>
      </c>
      <c r="F10" s="89" t="str">
        <f>IF(Table10[[#This Row],[Result]]="NC","n","")</f>
        <v/>
      </c>
      <c r="G10" s="42" t="str">
        <f>IF(Table10[[#This Row],[Result]]="PC","n","")</f>
        <v>n</v>
      </c>
      <c r="H10" s="90" t="str">
        <f>IF(Table10[[#This Row],[Result]]="C","n","")</f>
        <v/>
      </c>
      <c r="I10" s="110"/>
    </row>
    <row r="11" spans="1:9" ht="30" customHeight="1" x14ac:dyDescent="0.25">
      <c r="A11" s="215"/>
      <c r="C11" s="33" t="s">
        <v>359</v>
      </c>
      <c r="D11" s="7" t="s">
        <v>107</v>
      </c>
      <c r="E11" s="46" t="s">
        <v>5</v>
      </c>
      <c r="F11" s="89" t="str">
        <f>IF(Table10[[#This Row],[Result]]="NC","n","")</f>
        <v>n</v>
      </c>
      <c r="G11" s="42" t="str">
        <f>IF(Table10[[#This Row],[Result]]="PC","n","")</f>
        <v/>
      </c>
      <c r="H11" s="90" t="str">
        <f>IF(Table10[[#This Row],[Result]]="C","n","")</f>
        <v/>
      </c>
      <c r="I11" s="110"/>
    </row>
    <row r="12" spans="1:9" ht="30" customHeight="1" x14ac:dyDescent="0.25">
      <c r="A12" s="215"/>
      <c r="C12" s="33" t="s">
        <v>360</v>
      </c>
      <c r="D12" s="7" t="s">
        <v>201</v>
      </c>
      <c r="E12" s="46" t="s">
        <v>7</v>
      </c>
      <c r="F12" s="89" t="str">
        <f>IF(Table10[[#This Row],[Result]]="NC","n","")</f>
        <v/>
      </c>
      <c r="G12" s="42" t="str">
        <f>IF(Table10[[#This Row],[Result]]="PC","n","")</f>
        <v/>
      </c>
      <c r="H12" s="90" t="str">
        <f>IF(Table10[[#This Row],[Result]]="C","n","")</f>
        <v>n</v>
      </c>
      <c r="I12" s="110"/>
    </row>
    <row r="13" spans="1:9" ht="30" customHeight="1" x14ac:dyDescent="0.25">
      <c r="A13" s="209" t="s">
        <v>108</v>
      </c>
      <c r="C13" s="33" t="s">
        <v>361</v>
      </c>
      <c r="D13" s="7" t="s">
        <v>202</v>
      </c>
      <c r="E13" s="46" t="s">
        <v>5</v>
      </c>
      <c r="F13" s="89" t="str">
        <f>IF(Table10[[#This Row],[Result]]="NC","n","")</f>
        <v>n</v>
      </c>
      <c r="G13" s="42" t="str">
        <f>IF(Table10[[#This Row],[Result]]="PC","n","")</f>
        <v/>
      </c>
      <c r="H13" s="90" t="str">
        <f>IF(Table10[[#This Row],[Result]]="C","n","")</f>
        <v/>
      </c>
      <c r="I13" s="110"/>
    </row>
    <row r="14" spans="1:9" ht="30" customHeight="1" x14ac:dyDescent="0.25">
      <c r="A14" s="210"/>
      <c r="C14" s="33" t="s">
        <v>362</v>
      </c>
      <c r="D14" s="7" t="s">
        <v>203</v>
      </c>
      <c r="E14" s="46" t="s">
        <v>7</v>
      </c>
      <c r="F14" s="89" t="str">
        <f>IF(Table10[[#This Row],[Result]]="NC","n","")</f>
        <v/>
      </c>
      <c r="G14" s="42" t="str">
        <f>IF(Table10[[#This Row],[Result]]="PC","n","")</f>
        <v/>
      </c>
      <c r="H14" s="90" t="str">
        <f>IF(Table10[[#This Row],[Result]]="C","n","")</f>
        <v>n</v>
      </c>
      <c r="I14" s="110"/>
    </row>
    <row r="15" spans="1:9" ht="30" customHeight="1" x14ac:dyDescent="0.25">
      <c r="A15" s="211"/>
      <c r="C15" s="33" t="s">
        <v>363</v>
      </c>
      <c r="D15" s="7" t="s">
        <v>204</v>
      </c>
      <c r="E15" s="46" t="s">
        <v>5</v>
      </c>
      <c r="F15" s="89" t="str">
        <f>IF(Table10[[#This Row],[Result]]="NC","n","")</f>
        <v>n</v>
      </c>
      <c r="G15" s="42" t="str">
        <f>IF(Table10[[#This Row],[Result]]="PC","n","")</f>
        <v/>
      </c>
      <c r="H15" s="90" t="str">
        <f>IF(Table10[[#This Row],[Result]]="C","n","")</f>
        <v/>
      </c>
      <c r="I15" s="110"/>
    </row>
    <row r="16" spans="1:9" ht="30" customHeight="1" x14ac:dyDescent="0.25">
      <c r="A16" s="215" t="s">
        <v>31</v>
      </c>
      <c r="C16" s="33" t="s">
        <v>364</v>
      </c>
      <c r="D16" s="7" t="s">
        <v>205</v>
      </c>
      <c r="E16" s="46" t="s">
        <v>5</v>
      </c>
      <c r="F16" s="89" t="str">
        <f>IF(Table10[[#This Row],[Result]]="NC","n","")</f>
        <v>n</v>
      </c>
      <c r="G16" s="42" t="str">
        <f>IF(Table10[[#This Row],[Result]]="PC","n","")</f>
        <v/>
      </c>
      <c r="H16" s="90" t="str">
        <f>IF(Table10[[#This Row],[Result]]="C","n","")</f>
        <v/>
      </c>
      <c r="I16" s="110"/>
    </row>
    <row r="17" spans="1:9" ht="30" customHeight="1" x14ac:dyDescent="0.25">
      <c r="A17" s="215"/>
      <c r="C17" s="33" t="s">
        <v>365</v>
      </c>
      <c r="D17" s="7" t="s">
        <v>206</v>
      </c>
      <c r="E17" s="46" t="s">
        <v>7</v>
      </c>
      <c r="F17" s="89" t="str">
        <f>IF(Table10[[#This Row],[Result]]="NC","n","")</f>
        <v/>
      </c>
      <c r="G17" s="42" t="str">
        <f>IF(Table10[[#This Row],[Result]]="PC","n","")</f>
        <v/>
      </c>
      <c r="H17" s="90" t="str">
        <f>IF(Table10[[#This Row],[Result]]="C","n","")</f>
        <v>n</v>
      </c>
      <c r="I17" s="110"/>
    </row>
    <row r="18" spans="1:9" ht="30" customHeight="1" x14ac:dyDescent="0.25">
      <c r="A18" s="215"/>
      <c r="C18" s="33" t="s">
        <v>366</v>
      </c>
      <c r="D18" s="7" t="s">
        <v>207</v>
      </c>
      <c r="E18" s="46" t="s">
        <v>7</v>
      </c>
      <c r="F18" s="89" t="str">
        <f>IF(Table10[[#This Row],[Result]]="NC","n","")</f>
        <v/>
      </c>
      <c r="G18" s="42" t="str">
        <f>IF(Table10[[#This Row],[Result]]="PC","n","")</f>
        <v/>
      </c>
      <c r="H18" s="90" t="str">
        <f>IF(Table10[[#This Row],[Result]]="C","n","")</f>
        <v>n</v>
      </c>
      <c r="I18" s="110"/>
    </row>
    <row r="19" spans="1:9" ht="30" customHeight="1" x14ac:dyDescent="0.25">
      <c r="A19" s="215"/>
      <c r="C19" s="33" t="s">
        <v>368</v>
      </c>
      <c r="D19" s="7" t="s">
        <v>208</v>
      </c>
      <c r="E19" s="46" t="s">
        <v>7</v>
      </c>
      <c r="F19" s="89" t="str">
        <f>IF(Table10[[#This Row],[Result]]="NC","n","")</f>
        <v/>
      </c>
      <c r="G19" s="42" t="str">
        <f>IF(Table10[[#This Row],[Result]]="PC","n","")</f>
        <v/>
      </c>
      <c r="H19" s="90" t="str">
        <f>IF(Table10[[#This Row],[Result]]="C","n","")</f>
        <v>n</v>
      </c>
      <c r="I19" s="110"/>
    </row>
    <row r="20" spans="1:9" ht="30" customHeight="1" thickBot="1" x14ac:dyDescent="0.3">
      <c r="A20" s="215"/>
      <c r="C20" s="34" t="s">
        <v>367</v>
      </c>
      <c r="D20" s="17" t="s">
        <v>109</v>
      </c>
      <c r="E20" s="46" t="s">
        <v>7</v>
      </c>
      <c r="F20" s="92" t="str">
        <f>IF(Table10[[#This Row],[Result]]="NC","n","")</f>
        <v/>
      </c>
      <c r="G20" s="93" t="str">
        <f>IF(Table10[[#This Row],[Result]]="PC","n","")</f>
        <v/>
      </c>
      <c r="H20" s="94" t="str">
        <f>IF(Table10[[#This Row],[Result]]="C","n","")</f>
        <v>n</v>
      </c>
      <c r="I20" s="111"/>
    </row>
    <row r="21" spans="1:9" ht="15.75" thickBot="1" x14ac:dyDescent="0.3">
      <c r="D21" s="207" t="s">
        <v>257</v>
      </c>
      <c r="E21" s="207"/>
      <c r="F21" s="118">
        <f>COUNTIF(Table10[NC],"n")</f>
        <v>4</v>
      </c>
      <c r="G21" s="119">
        <f>COUNTIF(Table10[PC],"n")</f>
        <v>2</v>
      </c>
      <c r="H21" s="120">
        <f>COUNTIF(Table10[C],"n")</f>
        <v>9</v>
      </c>
    </row>
    <row r="22" spans="1:9" ht="16.5" thickTop="1" thickBot="1" x14ac:dyDescent="0.3">
      <c r="D22" s="207" t="s">
        <v>258</v>
      </c>
      <c r="E22" s="207"/>
      <c r="F22" s="121">
        <f>F21*0</f>
        <v>0</v>
      </c>
      <c r="G22" s="122">
        <f>G21*1</f>
        <v>2</v>
      </c>
      <c r="H22" s="123">
        <f>H21*3</f>
        <v>27</v>
      </c>
    </row>
    <row r="23" spans="1:9" x14ac:dyDescent="0.25">
      <c r="D23" s="207" t="s">
        <v>1</v>
      </c>
      <c r="E23" s="207"/>
      <c r="F23" s="101">
        <f>SUM(F22:H22)</f>
        <v>29</v>
      </c>
      <c r="G23" s="108" t="s">
        <v>370</v>
      </c>
    </row>
  </sheetData>
  <sheetProtection algorithmName="SHA-512" hashValue="WKVSgaFLGquYskZItXfpnFpjI8raC7lA5a8tMrZB074rS9HydAZRTM6hLgJu+nWe0vWmL0voDzYfGUn7KFxD9w==" saltValue="hU8qL+vTrgmjqGqXQNc+Zg==" spinCount="100000" sheet="1" objects="1" scenarios="1" selectLockedCells="1"/>
  <mergeCells count="8">
    <mergeCell ref="D22:E22"/>
    <mergeCell ref="D23:E23"/>
    <mergeCell ref="D2:H3"/>
    <mergeCell ref="A8:A12"/>
    <mergeCell ref="A13:A15"/>
    <mergeCell ref="A16:A20"/>
    <mergeCell ref="A6:A7"/>
    <mergeCell ref="D21:E21"/>
  </mergeCells>
  <dataValidations xWindow="871" yWindow="381" count="2">
    <dataValidation type="list" allowBlank="1" showInputMessage="1" showErrorMessage="1" prompt="Please enter either NC for a Non Compliance, PC for a Partial Compliance or C for a Compliance" sqref="E6:E19">
      <formula1>Result</formula1>
    </dataValidation>
    <dataValidation type="list" allowBlank="1" showInputMessage="1" showErrorMessage="1" prompt="Please enter either NC for a Non Conformance, PC for a Partial Conformance or C for a Conformance" sqref="E20">
      <formula1>Result</formula1>
    </dataValidation>
  </dataValidations>
  <pageMargins left="0.7" right="0.7" top="0.75" bottom="0.75" header="0.3" footer="0.3"/>
  <drawing r:id="rId1"/>
  <legacyDrawing r:id="rId2"/>
  <tableParts count="1">
    <tablePart r:id="rId3"/>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20"/>
  <sheetViews>
    <sheetView showGridLines="0" zoomScaleNormal="100" workbookViewId="0">
      <selection activeCell="E12" sqref="E12"/>
    </sheetView>
  </sheetViews>
  <sheetFormatPr defaultRowHeight="15" x14ac:dyDescent="0.25"/>
  <cols>
    <col min="1" max="1" width="7.7109375" style="24" customWidth="1"/>
    <col min="2" max="2" width="1.7109375" customWidth="1"/>
    <col min="3" max="3" width="6.7109375" customWidth="1"/>
    <col min="4" max="4" width="100.7109375" style="25" customWidth="1"/>
    <col min="5" max="5" width="7.7109375" style="25" customWidth="1"/>
    <col min="6" max="8" width="7.7109375" customWidth="1"/>
    <col min="9" max="9" width="100.7109375" customWidth="1"/>
  </cols>
  <sheetData>
    <row r="2" spans="1:9" x14ac:dyDescent="0.25">
      <c r="D2" s="206" t="s">
        <v>506</v>
      </c>
      <c r="E2" s="206"/>
      <c r="F2" s="206"/>
      <c r="G2" s="206"/>
      <c r="H2" s="206"/>
    </row>
    <row r="3" spans="1:9" x14ac:dyDescent="0.25">
      <c r="D3" s="206"/>
      <c r="E3" s="206"/>
      <c r="F3" s="206"/>
      <c r="G3" s="206"/>
      <c r="H3" s="206"/>
    </row>
    <row r="5" spans="1:9" s="3" customFormat="1" ht="30" customHeight="1" x14ac:dyDescent="0.25">
      <c r="A5" s="13"/>
      <c r="C5" s="15" t="s">
        <v>0</v>
      </c>
      <c r="D5" s="134" t="s">
        <v>4</v>
      </c>
      <c r="E5" s="135" t="s">
        <v>332</v>
      </c>
      <c r="F5" s="87" t="s">
        <v>5</v>
      </c>
      <c r="G5" s="9" t="s">
        <v>6</v>
      </c>
      <c r="H5" s="88" t="s">
        <v>7</v>
      </c>
      <c r="I5" s="95" t="s">
        <v>56</v>
      </c>
    </row>
    <row r="6" spans="1:9" ht="30" customHeight="1" x14ac:dyDescent="0.25">
      <c r="A6" s="215" t="s">
        <v>111</v>
      </c>
      <c r="C6" s="33" t="s">
        <v>371</v>
      </c>
      <c r="D6" s="7" t="s">
        <v>110</v>
      </c>
      <c r="E6" s="67" t="s">
        <v>7</v>
      </c>
      <c r="F6" s="89" t="str">
        <f>IF(Table12[[#This Row],[Result]]="NC","n","")</f>
        <v/>
      </c>
      <c r="G6" s="171" t="str">
        <f>IF(Table12[[#This Row],[Result]]="PC","n","")</f>
        <v/>
      </c>
      <c r="H6" s="90" t="str">
        <f>IF(Table12[[#This Row],[Result]]="C","n","")</f>
        <v>n</v>
      </c>
      <c r="I6" s="86"/>
    </row>
    <row r="7" spans="1:9" ht="30" customHeight="1" x14ac:dyDescent="0.25">
      <c r="A7" s="215"/>
      <c r="C7" s="33" t="s">
        <v>372</v>
      </c>
      <c r="D7" s="7" t="s">
        <v>113</v>
      </c>
      <c r="E7" s="67" t="s">
        <v>7</v>
      </c>
      <c r="F7" s="89" t="str">
        <f>IF(Table12[[#This Row],[Result]]="NC","n","")</f>
        <v/>
      </c>
      <c r="G7" s="42" t="str">
        <f>IF(Table12[[#This Row],[Result]]="PC","n","")</f>
        <v/>
      </c>
      <c r="H7" s="90" t="str">
        <f>IF(Table12[[#This Row],[Result]]="C","n","")</f>
        <v>n</v>
      </c>
      <c r="I7" s="86"/>
    </row>
    <row r="8" spans="1:9" ht="30" customHeight="1" x14ac:dyDescent="0.25">
      <c r="A8" s="215"/>
      <c r="C8" s="33" t="s">
        <v>373</v>
      </c>
      <c r="D8" s="7" t="s">
        <v>209</v>
      </c>
      <c r="E8" s="67" t="s">
        <v>6</v>
      </c>
      <c r="F8" s="89" t="str">
        <f>IF(Table12[[#This Row],[Result]]="NC","n","")</f>
        <v/>
      </c>
      <c r="G8" s="42" t="str">
        <f>IF(Table12[[#This Row],[Result]]="PC","n","")</f>
        <v>n</v>
      </c>
      <c r="H8" s="90" t="str">
        <f>IF(Table12[[#This Row],[Result]]="C","n","")</f>
        <v/>
      </c>
      <c r="I8" s="86"/>
    </row>
    <row r="9" spans="1:9" ht="30" customHeight="1" x14ac:dyDescent="0.25">
      <c r="A9" s="209" t="s">
        <v>112</v>
      </c>
      <c r="C9" s="33" t="s">
        <v>374</v>
      </c>
      <c r="D9" s="7" t="s">
        <v>210</v>
      </c>
      <c r="E9" s="67" t="s">
        <v>7</v>
      </c>
      <c r="F9" s="89" t="str">
        <f>IF(Table12[[#This Row],[Result]]="NC","n","")</f>
        <v/>
      </c>
      <c r="G9" s="42" t="str">
        <f>IF(Table12[[#This Row],[Result]]="PC","n","")</f>
        <v/>
      </c>
      <c r="H9" s="90" t="str">
        <f>IF(Table12[[#This Row],[Result]]="C","n","")</f>
        <v>n</v>
      </c>
      <c r="I9" s="86"/>
    </row>
    <row r="10" spans="1:9" ht="30" customHeight="1" x14ac:dyDescent="0.25">
      <c r="A10" s="210"/>
      <c r="C10" s="33" t="s">
        <v>375</v>
      </c>
      <c r="D10" s="7" t="s">
        <v>211</v>
      </c>
      <c r="E10" s="67" t="s">
        <v>7</v>
      </c>
      <c r="F10" s="89" t="str">
        <f>IF(Table12[[#This Row],[Result]]="NC","n","")</f>
        <v/>
      </c>
      <c r="G10" s="42" t="str">
        <f>IF(Table12[[#This Row],[Result]]="PC","n","")</f>
        <v/>
      </c>
      <c r="H10" s="90" t="str">
        <f>IF(Table12[[#This Row],[Result]]="C","n","")</f>
        <v>n</v>
      </c>
      <c r="I10" s="86"/>
    </row>
    <row r="11" spans="1:9" ht="30" customHeight="1" x14ac:dyDescent="0.25">
      <c r="A11" s="211"/>
      <c r="C11" s="33" t="s">
        <v>376</v>
      </c>
      <c r="D11" s="7" t="s">
        <v>117</v>
      </c>
      <c r="E11" s="67" t="s">
        <v>7</v>
      </c>
      <c r="F11" s="89" t="str">
        <f>IF(Table12[[#This Row],[Result]]="NC","n","")</f>
        <v/>
      </c>
      <c r="G11" s="42" t="str">
        <f>IF(Table12[[#This Row],[Result]]="PC","n","")</f>
        <v/>
      </c>
      <c r="H11" s="90" t="str">
        <f>IF(Table12[[#This Row],[Result]]="C","n","")</f>
        <v>n</v>
      </c>
      <c r="I11" s="86"/>
    </row>
    <row r="12" spans="1:9" ht="30" customHeight="1" x14ac:dyDescent="0.25">
      <c r="A12" s="215" t="s">
        <v>114</v>
      </c>
      <c r="C12" s="33" t="s">
        <v>377</v>
      </c>
      <c r="D12" s="7" t="s">
        <v>115</v>
      </c>
      <c r="E12" s="67" t="s">
        <v>5</v>
      </c>
      <c r="F12" s="89" t="str">
        <f>IF(Table12[[#This Row],[Result]]="NC","n","")</f>
        <v>n</v>
      </c>
      <c r="G12" s="42" t="str">
        <f>IF(Table12[[#This Row],[Result]]="PC","n","")</f>
        <v/>
      </c>
      <c r="H12" s="90" t="str">
        <f>IF(Table12[[#This Row],[Result]]="C","n","")</f>
        <v/>
      </c>
      <c r="I12" s="86"/>
    </row>
    <row r="13" spans="1:9" ht="30" customHeight="1" x14ac:dyDescent="0.25">
      <c r="A13" s="215"/>
      <c r="C13" s="33" t="s">
        <v>378</v>
      </c>
      <c r="D13" s="7" t="s">
        <v>116</v>
      </c>
      <c r="E13" s="67" t="s">
        <v>7</v>
      </c>
      <c r="F13" s="89" t="str">
        <f>IF(Table12[[#This Row],[Result]]="NC","n","")</f>
        <v/>
      </c>
      <c r="G13" s="42" t="str">
        <f>IF(Table12[[#This Row],[Result]]="PC","n","")</f>
        <v/>
      </c>
      <c r="H13" s="90" t="str">
        <f>IF(Table12[[#This Row],[Result]]="C","n","")</f>
        <v>n</v>
      </c>
      <c r="I13" s="86"/>
    </row>
    <row r="14" spans="1:9" ht="30" customHeight="1" x14ac:dyDescent="0.25">
      <c r="A14" s="215"/>
      <c r="C14" s="33" t="s">
        <v>378</v>
      </c>
      <c r="D14" s="7" t="s">
        <v>118</v>
      </c>
      <c r="E14" s="67" t="s">
        <v>5</v>
      </c>
      <c r="F14" s="89" t="str">
        <f>IF(Table12[[#This Row],[Result]]="NC","n","")</f>
        <v>n</v>
      </c>
      <c r="G14" s="42" t="str">
        <f>IF(Table12[[#This Row],[Result]]="PC","n","")</f>
        <v/>
      </c>
      <c r="H14" s="90" t="str">
        <f>IF(Table12[[#This Row],[Result]]="C","n","")</f>
        <v/>
      </c>
      <c r="I14" s="86"/>
    </row>
    <row r="15" spans="1:9" ht="30" customHeight="1" x14ac:dyDescent="0.25">
      <c r="A15" s="215"/>
      <c r="C15" s="33" t="s">
        <v>379</v>
      </c>
      <c r="D15" s="8" t="s">
        <v>160</v>
      </c>
      <c r="E15" s="67" t="s">
        <v>7</v>
      </c>
      <c r="F15" s="89" t="str">
        <f>IF(Table12[[#This Row],[Result]]="NC","n","")</f>
        <v/>
      </c>
      <c r="G15" s="42" t="str">
        <f>IF(Table12[[#This Row],[Result]]="PC","n","")</f>
        <v/>
      </c>
      <c r="H15" s="90" t="str">
        <f>IF(Table12[[#This Row],[Result]]="C","n","")</f>
        <v>n</v>
      </c>
      <c r="I15" s="86"/>
    </row>
    <row r="16" spans="1:9" ht="30" customHeight="1" thickBot="1" x14ac:dyDescent="0.3">
      <c r="A16" s="215"/>
      <c r="C16" s="34" t="s">
        <v>380</v>
      </c>
      <c r="D16" s="27" t="s">
        <v>163</v>
      </c>
      <c r="E16" s="67" t="s">
        <v>5</v>
      </c>
      <c r="F16" s="163" t="str">
        <f>IF(Table12[[#This Row],[Result]]="NC","n","")</f>
        <v>n</v>
      </c>
      <c r="G16" s="43" t="str">
        <f>IF(Table12[[#This Row],[Result]]="PC","n","")</f>
        <v/>
      </c>
      <c r="H16" s="164" t="str">
        <f>IF(Table12[[#This Row],[Result]]="C","n","")</f>
        <v/>
      </c>
      <c r="I16" s="31"/>
    </row>
    <row r="17" spans="4:8" ht="15.75" thickBot="1" x14ac:dyDescent="0.3">
      <c r="D17" s="216" t="s">
        <v>257</v>
      </c>
      <c r="E17" s="216"/>
      <c r="F17" s="137">
        <f>COUNTIF(Table12[NC],"n")</f>
        <v>3</v>
      </c>
      <c r="G17" s="138">
        <f>COUNTIF(Table12[PC],"n")</f>
        <v>1</v>
      </c>
      <c r="H17" s="139">
        <f>COUNTIF(Table12[C],"n")</f>
        <v>7</v>
      </c>
    </row>
    <row r="18" spans="4:8" ht="16.5" thickTop="1" thickBot="1" x14ac:dyDescent="0.3">
      <c r="D18" s="216" t="s">
        <v>258</v>
      </c>
      <c r="E18" s="216"/>
      <c r="F18" s="140">
        <f>SUM(F17*0)</f>
        <v>0</v>
      </c>
      <c r="G18" s="141">
        <f>G17*1</f>
        <v>1</v>
      </c>
      <c r="H18" s="142">
        <f>H17*3</f>
        <v>21</v>
      </c>
    </row>
    <row r="19" spans="4:8" x14ac:dyDescent="0.25">
      <c r="D19" s="216" t="s">
        <v>1</v>
      </c>
      <c r="E19" s="216"/>
      <c r="F19" s="101">
        <f>SUM(F18:H18)</f>
        <v>22</v>
      </c>
      <c r="G19" s="108" t="s">
        <v>381</v>
      </c>
      <c r="H19" s="101"/>
    </row>
    <row r="20" spans="4:8" x14ac:dyDescent="0.25">
      <c r="D20" s="136"/>
      <c r="E20" s="136"/>
    </row>
  </sheetData>
  <sheetProtection algorithmName="SHA-512" hashValue="LvIt/Tr1tB8v9vPUgVM6BycOA+C4tpWEM44VUEOKtXrRwJIKDnSzJ7F9z/3M0YT1/jeDJz2u6xerkPa0T4mSAA==" saltValue="usWFpAxKiAq/qoMqE5z3tw==" spinCount="100000" sheet="1" objects="1" scenarios="1" selectLockedCells="1"/>
  <mergeCells count="7">
    <mergeCell ref="D2:H3"/>
    <mergeCell ref="D17:E17"/>
    <mergeCell ref="D18:E18"/>
    <mergeCell ref="D19:E19"/>
    <mergeCell ref="A6:A8"/>
    <mergeCell ref="A9:A11"/>
    <mergeCell ref="A12:A16"/>
  </mergeCells>
  <dataValidations xWindow="871" yWindow="419" count="1">
    <dataValidation type="list" allowBlank="1" showInputMessage="1" showErrorMessage="1" prompt="Please enter either NC for a Non Conformance, PC for a Partial Conformance or C for a Conformance" sqref="E6:E16">
      <formula1>Result</formula1>
    </dataValidation>
  </dataValidations>
  <pageMargins left="0.7" right="0.7" top="0.75" bottom="0.75" header="0.3" footer="0.3"/>
  <ignoredErrors>
    <ignoredError sqref="G17" formula="1"/>
  </ignoredErrors>
  <drawing r:id="rId1"/>
  <legacyDrawing r:id="rId2"/>
  <tableParts count="1">
    <tablePart r:id="rId3"/>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40"/>
  <sheetViews>
    <sheetView showGridLines="0" topLeftCell="A19" zoomScaleNormal="100" workbookViewId="0">
      <selection activeCell="E10" sqref="E10:E11"/>
    </sheetView>
  </sheetViews>
  <sheetFormatPr defaultRowHeight="15" x14ac:dyDescent="0.25"/>
  <cols>
    <col min="1" max="1" width="7.7109375" style="13" customWidth="1"/>
    <col min="2" max="2" width="1.7109375" customWidth="1"/>
    <col min="3" max="3" width="6.7109375" customWidth="1"/>
    <col min="4" max="4" width="100.7109375" style="21" customWidth="1"/>
    <col min="5" max="5" width="7.7109375" style="21" customWidth="1"/>
    <col min="6" max="8" width="7.7109375" customWidth="1"/>
    <col min="9" max="9" width="100.7109375" customWidth="1"/>
  </cols>
  <sheetData>
    <row r="2" spans="1:9" x14ac:dyDescent="0.25">
      <c r="D2" s="206" t="s">
        <v>413</v>
      </c>
      <c r="E2" s="206"/>
      <c r="F2" s="206"/>
      <c r="G2" s="206"/>
      <c r="H2" s="206"/>
    </row>
    <row r="3" spans="1:9" x14ac:dyDescent="0.25">
      <c r="D3" s="206"/>
      <c r="E3" s="206"/>
      <c r="F3" s="206"/>
      <c r="G3" s="206"/>
      <c r="H3" s="206"/>
    </row>
    <row r="5" spans="1:9" ht="30" customHeight="1" x14ac:dyDescent="0.25">
      <c r="C5" s="15" t="s">
        <v>0</v>
      </c>
      <c r="D5" s="35" t="s">
        <v>4</v>
      </c>
      <c r="E5" s="16" t="s">
        <v>332</v>
      </c>
      <c r="F5" s="87" t="s">
        <v>5</v>
      </c>
      <c r="G5" s="9" t="s">
        <v>6</v>
      </c>
      <c r="H5" s="88" t="s">
        <v>7</v>
      </c>
      <c r="I5" s="85" t="s">
        <v>56</v>
      </c>
    </row>
    <row r="6" spans="1:9" ht="30" customHeight="1" x14ac:dyDescent="0.25">
      <c r="A6" s="209" t="s">
        <v>34</v>
      </c>
      <c r="C6" s="33" t="s">
        <v>382</v>
      </c>
      <c r="D6" s="12" t="s">
        <v>183</v>
      </c>
      <c r="E6" s="67" t="s">
        <v>7</v>
      </c>
      <c r="F6" s="89" t="str">
        <f>IF(Table7[[#This Row],[Result]]="NC","n","")</f>
        <v/>
      </c>
      <c r="G6" s="42" t="str">
        <f>IF(Table7[[#This Row],[Result]]="PC","n","")</f>
        <v/>
      </c>
      <c r="H6" s="90" t="str">
        <f>IF(Table7[[#This Row],[Result]]="C","n","")</f>
        <v>n</v>
      </c>
      <c r="I6" s="86"/>
    </row>
    <row r="7" spans="1:9" ht="30" customHeight="1" x14ac:dyDescent="0.25">
      <c r="A7" s="210"/>
      <c r="C7" s="33" t="s">
        <v>383</v>
      </c>
      <c r="D7" s="12" t="s">
        <v>75</v>
      </c>
      <c r="E7" s="67" t="s">
        <v>6</v>
      </c>
      <c r="F7" s="89" t="str">
        <f>IF(Table7[[#This Row],[Result]]="NC","n","")</f>
        <v/>
      </c>
      <c r="G7" s="42" t="str">
        <f>IF(Table7[[#This Row],[Result]]="PC","n","")</f>
        <v>n</v>
      </c>
      <c r="H7" s="90" t="str">
        <f>IF(Table7[[#This Row],[Result]]="C","n","")</f>
        <v/>
      </c>
      <c r="I7" s="86"/>
    </row>
    <row r="8" spans="1:9" ht="30" customHeight="1" x14ac:dyDescent="0.25">
      <c r="A8" s="210"/>
      <c r="C8" s="33" t="s">
        <v>384</v>
      </c>
      <c r="D8" s="12" t="s">
        <v>78</v>
      </c>
      <c r="E8" s="67" t="s">
        <v>6</v>
      </c>
      <c r="F8" s="89" t="str">
        <f>IF(Table7[[#This Row],[Result]]="NC","n","")</f>
        <v/>
      </c>
      <c r="G8" s="42" t="str">
        <f>IF(Table7[[#This Row],[Result]]="PC","n","")</f>
        <v>n</v>
      </c>
      <c r="H8" s="90" t="str">
        <f>IF(Table7[[#This Row],[Result]]="C","n","")</f>
        <v/>
      </c>
      <c r="I8" s="86"/>
    </row>
    <row r="9" spans="1:9" ht="30" customHeight="1" x14ac:dyDescent="0.25">
      <c r="A9" s="211"/>
      <c r="C9" s="33" t="s">
        <v>385</v>
      </c>
      <c r="D9" s="12" t="s">
        <v>77</v>
      </c>
      <c r="E9" s="67" t="s">
        <v>7</v>
      </c>
      <c r="F9" s="89" t="str">
        <f>IF(Table7[[#This Row],[Result]]="NC","n","")</f>
        <v/>
      </c>
      <c r="G9" s="42" t="str">
        <f>IF(Table7[[#This Row],[Result]]="PC","n","")</f>
        <v/>
      </c>
      <c r="H9" s="90" t="str">
        <f>IF(Table7[[#This Row],[Result]]="C","n","")</f>
        <v>n</v>
      </c>
      <c r="I9" s="86"/>
    </row>
    <row r="10" spans="1:9" ht="30" customHeight="1" x14ac:dyDescent="0.25">
      <c r="A10" s="209" t="s">
        <v>33</v>
      </c>
      <c r="C10" s="33" t="s">
        <v>386</v>
      </c>
      <c r="D10" s="12" t="s">
        <v>35</v>
      </c>
      <c r="E10" s="67" t="s">
        <v>5</v>
      </c>
      <c r="F10" s="89" t="str">
        <f>IF(Table7[[#This Row],[Result]]="NC","n","")</f>
        <v>n</v>
      </c>
      <c r="G10" s="42" t="str">
        <f>IF(Table7[[#This Row],[Result]]="PC","n","")</f>
        <v/>
      </c>
      <c r="H10" s="90" t="str">
        <f>IF(Table7[[#This Row],[Result]]="C","n","")</f>
        <v/>
      </c>
      <c r="I10" s="86"/>
    </row>
    <row r="11" spans="1:9" ht="30" customHeight="1" x14ac:dyDescent="0.25">
      <c r="A11" s="210"/>
      <c r="C11" s="33" t="s">
        <v>387</v>
      </c>
      <c r="D11" s="12" t="s">
        <v>76</v>
      </c>
      <c r="E11" s="67" t="s">
        <v>7</v>
      </c>
      <c r="F11" s="89" t="str">
        <f>IF(Table7[[#This Row],[Result]]="NC","n","")</f>
        <v/>
      </c>
      <c r="G11" s="42" t="str">
        <f>IF(Table7[[#This Row],[Result]]="PC","n","")</f>
        <v/>
      </c>
      <c r="H11" s="90" t="str">
        <f>IF(Table7[[#This Row],[Result]]="C","n","")</f>
        <v>n</v>
      </c>
      <c r="I11" s="86"/>
    </row>
    <row r="12" spans="1:9" ht="30" customHeight="1" x14ac:dyDescent="0.25">
      <c r="A12" s="210"/>
      <c r="C12" s="33" t="s">
        <v>388</v>
      </c>
      <c r="D12" s="12" t="s">
        <v>184</v>
      </c>
      <c r="E12" s="67" t="s">
        <v>7</v>
      </c>
      <c r="F12" s="89" t="str">
        <f>IF(Table7[[#This Row],[Result]]="NC","n","")</f>
        <v/>
      </c>
      <c r="G12" s="42" t="str">
        <f>IF(Table7[[#This Row],[Result]]="PC","n","")</f>
        <v/>
      </c>
      <c r="H12" s="90" t="str">
        <f>IF(Table7[[#This Row],[Result]]="C","n","")</f>
        <v>n</v>
      </c>
      <c r="I12" s="86"/>
    </row>
    <row r="13" spans="1:9" ht="30" customHeight="1" x14ac:dyDescent="0.25">
      <c r="A13" s="211"/>
      <c r="C13" s="33" t="s">
        <v>389</v>
      </c>
      <c r="D13" s="12" t="s">
        <v>185</v>
      </c>
      <c r="E13" s="67" t="s">
        <v>6</v>
      </c>
      <c r="F13" s="89" t="str">
        <f>IF(Table7[[#This Row],[Result]]="NC","n","")</f>
        <v/>
      </c>
      <c r="G13" s="42" t="str">
        <f>IF(Table7[[#This Row],[Result]]="PC","n","")</f>
        <v>n</v>
      </c>
      <c r="H13" s="90" t="str">
        <f>IF(Table7[[#This Row],[Result]]="C","n","")</f>
        <v/>
      </c>
      <c r="I13" s="86"/>
    </row>
    <row r="14" spans="1:9" ht="30" customHeight="1" x14ac:dyDescent="0.25">
      <c r="A14" s="209" t="s">
        <v>22</v>
      </c>
      <c r="C14" s="33" t="s">
        <v>390</v>
      </c>
      <c r="D14" s="12" t="s">
        <v>509</v>
      </c>
      <c r="E14" s="67" t="s">
        <v>5</v>
      </c>
      <c r="F14" s="89" t="str">
        <f>IF(Table7[[#This Row],[Result]]="NC","n","")</f>
        <v>n</v>
      </c>
      <c r="G14" s="42" t="str">
        <f>IF(Table7[[#This Row],[Result]]="PC","n","")</f>
        <v/>
      </c>
      <c r="H14" s="90" t="str">
        <f>IF(Table7[[#This Row],[Result]]="C","n","")</f>
        <v/>
      </c>
      <c r="I14" s="86"/>
    </row>
    <row r="15" spans="1:9" ht="30" customHeight="1" x14ac:dyDescent="0.25">
      <c r="A15" s="210"/>
      <c r="C15" s="33" t="s">
        <v>391</v>
      </c>
      <c r="D15" s="12" t="s">
        <v>79</v>
      </c>
      <c r="E15" s="67" t="s">
        <v>7</v>
      </c>
      <c r="F15" s="89" t="str">
        <f>IF(Table7[[#This Row],[Result]]="NC","n","")</f>
        <v/>
      </c>
      <c r="G15" s="42" t="str">
        <f>IF(Table7[[#This Row],[Result]]="PC","n","")</f>
        <v/>
      </c>
      <c r="H15" s="90" t="str">
        <f>IF(Table7[[#This Row],[Result]]="C","n","")</f>
        <v>n</v>
      </c>
      <c r="I15" s="86"/>
    </row>
    <row r="16" spans="1:9" ht="30" customHeight="1" x14ac:dyDescent="0.25">
      <c r="A16" s="210"/>
      <c r="C16" s="33" t="s">
        <v>392</v>
      </c>
      <c r="D16" s="12" t="s">
        <v>80</v>
      </c>
      <c r="E16" s="67" t="s">
        <v>5</v>
      </c>
      <c r="F16" s="89" t="str">
        <f>IF(Table7[[#This Row],[Result]]="NC","n","")</f>
        <v>n</v>
      </c>
      <c r="G16" s="42" t="str">
        <f>IF(Table7[[#This Row],[Result]]="PC","n","")</f>
        <v/>
      </c>
      <c r="H16" s="90" t="str">
        <f>IF(Table7[[#This Row],[Result]]="C","n","")</f>
        <v/>
      </c>
      <c r="I16" s="86"/>
    </row>
    <row r="17" spans="1:9" ht="30" customHeight="1" x14ac:dyDescent="0.25">
      <c r="A17" s="210"/>
      <c r="C17" s="33" t="s">
        <v>393</v>
      </c>
      <c r="D17" s="12" t="s">
        <v>81</v>
      </c>
      <c r="E17" s="67" t="s">
        <v>5</v>
      </c>
      <c r="F17" s="89" t="str">
        <f>IF(Table7[[#This Row],[Result]]="NC","n","")</f>
        <v>n</v>
      </c>
      <c r="G17" s="42" t="str">
        <f>IF(Table7[[#This Row],[Result]]="PC","n","")</f>
        <v/>
      </c>
      <c r="H17" s="90" t="str">
        <f>IF(Table7[[#This Row],[Result]]="C","n","")</f>
        <v/>
      </c>
      <c r="I17" s="86"/>
    </row>
    <row r="18" spans="1:9" ht="30" customHeight="1" x14ac:dyDescent="0.25">
      <c r="A18" s="211"/>
      <c r="C18" s="33" t="s">
        <v>394</v>
      </c>
      <c r="D18" s="32" t="s">
        <v>82</v>
      </c>
      <c r="E18" s="67" t="s">
        <v>5</v>
      </c>
      <c r="F18" s="89" t="str">
        <f>IF(Table7[[#This Row],[Result]]="NC","n","")</f>
        <v>n</v>
      </c>
      <c r="G18" s="42" t="str">
        <f>IF(Table7[[#This Row],[Result]]="PC","n","")</f>
        <v/>
      </c>
      <c r="H18" s="90" t="str">
        <f>IF(Table7[[#This Row],[Result]]="C","n","")</f>
        <v/>
      </c>
      <c r="I18" s="86"/>
    </row>
    <row r="19" spans="1:9" ht="30" customHeight="1" x14ac:dyDescent="0.25">
      <c r="A19" s="215" t="s">
        <v>23</v>
      </c>
      <c r="C19" s="33" t="s">
        <v>395</v>
      </c>
      <c r="D19" s="14" t="s">
        <v>10</v>
      </c>
      <c r="E19" s="84" t="s">
        <v>7</v>
      </c>
      <c r="F19" s="89" t="str">
        <f>IF(Table7[[#This Row],[Result]]="NC","n","")</f>
        <v/>
      </c>
      <c r="G19" s="42" t="str">
        <f>IF(Table7[[#This Row],[Result]]="PC","n","")</f>
        <v/>
      </c>
      <c r="H19" s="90" t="str">
        <f>IF(Table7[[#This Row],[Result]]="C","n","")</f>
        <v>n</v>
      </c>
      <c r="I19" s="86"/>
    </row>
    <row r="20" spans="1:9" ht="30" customHeight="1" x14ac:dyDescent="0.25">
      <c r="A20" s="215"/>
      <c r="C20" s="33" t="s">
        <v>383</v>
      </c>
      <c r="D20" s="12" t="s">
        <v>83</v>
      </c>
      <c r="E20" s="67" t="s">
        <v>5</v>
      </c>
      <c r="F20" s="89" t="str">
        <f>IF(Table7[[#This Row],[Result]]="NC","n","")</f>
        <v>n</v>
      </c>
      <c r="G20" s="42" t="str">
        <f>IF(Table7[[#This Row],[Result]]="PC","n","")</f>
        <v/>
      </c>
      <c r="H20" s="90" t="str">
        <f>IF(Table7[[#This Row],[Result]]="C","n","")</f>
        <v/>
      </c>
      <c r="I20" s="86"/>
    </row>
    <row r="21" spans="1:9" ht="30" customHeight="1" x14ac:dyDescent="0.25">
      <c r="A21" s="215"/>
      <c r="C21" s="33" t="s">
        <v>396</v>
      </c>
      <c r="D21" s="12" t="s">
        <v>186</v>
      </c>
      <c r="E21" s="67" t="s">
        <v>7</v>
      </c>
      <c r="F21" s="89" t="str">
        <f>IF(Table7[[#This Row],[Result]]="NC","n","")</f>
        <v/>
      </c>
      <c r="G21" s="42" t="str">
        <f>IF(Table7[[#This Row],[Result]]="PC","n","")</f>
        <v/>
      </c>
      <c r="H21" s="90" t="str">
        <f>IF(Table7[[#This Row],[Result]]="C","n","")</f>
        <v>n</v>
      </c>
      <c r="I21" s="86"/>
    </row>
    <row r="22" spans="1:9" ht="30" customHeight="1" x14ac:dyDescent="0.25">
      <c r="A22" s="209" t="s">
        <v>24</v>
      </c>
      <c r="C22" s="33" t="s">
        <v>397</v>
      </c>
      <c r="D22" s="12" t="s">
        <v>84</v>
      </c>
      <c r="E22" s="67" t="s">
        <v>7</v>
      </c>
      <c r="F22" s="89" t="str">
        <f>IF(Table7[[#This Row],[Result]]="NC","n","")</f>
        <v/>
      </c>
      <c r="G22" s="42" t="str">
        <f>IF(Table7[[#This Row],[Result]]="PC","n","")</f>
        <v/>
      </c>
      <c r="H22" s="90" t="str">
        <f>IF(Table7[[#This Row],[Result]]="C","n","")</f>
        <v>n</v>
      </c>
      <c r="I22" s="86"/>
    </row>
    <row r="23" spans="1:9" ht="30" customHeight="1" x14ac:dyDescent="0.25">
      <c r="A23" s="210"/>
      <c r="C23" s="33" t="s">
        <v>398</v>
      </c>
      <c r="D23" s="12" t="s">
        <v>414</v>
      </c>
      <c r="E23" s="67" t="s">
        <v>6</v>
      </c>
      <c r="F23" s="89" t="str">
        <f>IF(Table7[[#This Row],[Result]]="NC","n","")</f>
        <v/>
      </c>
      <c r="G23" s="42" t="str">
        <f>IF(Table7[[#This Row],[Result]]="PC","n","")</f>
        <v>n</v>
      </c>
      <c r="H23" s="90" t="str">
        <f>IF(Table7[[#This Row],[Result]]="C","n","")</f>
        <v/>
      </c>
      <c r="I23" s="86"/>
    </row>
    <row r="24" spans="1:9" ht="30" customHeight="1" x14ac:dyDescent="0.25">
      <c r="A24" s="210"/>
      <c r="C24" s="33" t="s">
        <v>399</v>
      </c>
      <c r="D24" s="12" t="s">
        <v>416</v>
      </c>
      <c r="E24" s="67" t="s">
        <v>6</v>
      </c>
      <c r="F24" s="89" t="str">
        <f>IF(Table7[[#This Row],[Result]]="NC","n","")</f>
        <v/>
      </c>
      <c r="G24" s="42" t="str">
        <f>IF(Table7[[#This Row],[Result]]="PC","n","")</f>
        <v>n</v>
      </c>
      <c r="H24" s="90" t="str">
        <f>IF(Table7[[#This Row],[Result]]="C","n","")</f>
        <v/>
      </c>
      <c r="I24" s="86"/>
    </row>
    <row r="25" spans="1:9" ht="30" customHeight="1" x14ac:dyDescent="0.25">
      <c r="A25" s="210"/>
      <c r="C25" s="37" t="s">
        <v>400</v>
      </c>
      <c r="D25" s="12" t="s">
        <v>187</v>
      </c>
      <c r="E25" s="67" t="s">
        <v>7</v>
      </c>
      <c r="F25" s="89" t="str">
        <f>IF(Table7[[#This Row],[Result]]="NC","n","")</f>
        <v/>
      </c>
      <c r="G25" s="42" t="str">
        <f>IF(Table7[[#This Row],[Result]]="PC","n","")</f>
        <v/>
      </c>
      <c r="H25" s="90" t="str">
        <f>IF(Table7[[#This Row],[Result]]="C","n","")</f>
        <v>n</v>
      </c>
      <c r="I25" s="86"/>
    </row>
    <row r="26" spans="1:9" ht="30" customHeight="1" x14ac:dyDescent="0.25">
      <c r="A26" s="210"/>
      <c r="C26" s="33" t="s">
        <v>401</v>
      </c>
      <c r="D26" s="12" t="s">
        <v>188</v>
      </c>
      <c r="E26" s="67" t="s">
        <v>7</v>
      </c>
      <c r="F26" s="89" t="str">
        <f>IF(Table7[[#This Row],[Result]]="NC","n","")</f>
        <v/>
      </c>
      <c r="G26" s="42" t="str">
        <f>IF(Table7[[#This Row],[Result]]="PC","n","")</f>
        <v/>
      </c>
      <c r="H26" s="90" t="str">
        <f>IF(Table7[[#This Row],[Result]]="C","n","")</f>
        <v>n</v>
      </c>
      <c r="I26" s="86"/>
    </row>
    <row r="27" spans="1:9" ht="30" customHeight="1" x14ac:dyDescent="0.25">
      <c r="A27" s="210"/>
      <c r="C27" s="37" t="s">
        <v>402</v>
      </c>
      <c r="D27" s="12" t="s">
        <v>85</v>
      </c>
      <c r="E27" s="67" t="s">
        <v>6</v>
      </c>
      <c r="F27" s="89" t="str">
        <f>IF(Table7[[#This Row],[Result]]="NC","n","")</f>
        <v/>
      </c>
      <c r="G27" s="42" t="str">
        <f>IF(Table7[[#This Row],[Result]]="PC","n","")</f>
        <v>n</v>
      </c>
      <c r="H27" s="90" t="str">
        <f>IF(Table7[[#This Row],[Result]]="C","n","")</f>
        <v/>
      </c>
      <c r="I27" s="86"/>
    </row>
    <row r="28" spans="1:9" ht="30" customHeight="1" x14ac:dyDescent="0.25">
      <c r="A28" s="210"/>
      <c r="C28" s="33" t="s">
        <v>403</v>
      </c>
      <c r="D28" s="12" t="s">
        <v>189</v>
      </c>
      <c r="E28" s="67" t="s">
        <v>7</v>
      </c>
      <c r="F28" s="89" t="str">
        <f>IF(Table7[[#This Row],[Result]]="NC","n","")</f>
        <v/>
      </c>
      <c r="G28" s="42" t="str">
        <f>IF(Table7[[#This Row],[Result]]="PC","n","")</f>
        <v/>
      </c>
      <c r="H28" s="90" t="str">
        <f>IF(Table7[[#This Row],[Result]]="C","n","")</f>
        <v>n</v>
      </c>
      <c r="I28" s="86"/>
    </row>
    <row r="29" spans="1:9" ht="30" customHeight="1" x14ac:dyDescent="0.25">
      <c r="A29" s="210"/>
      <c r="C29" s="37" t="s">
        <v>404</v>
      </c>
      <c r="D29" s="12" t="s">
        <v>190</v>
      </c>
      <c r="E29" s="67" t="s">
        <v>7</v>
      </c>
      <c r="F29" s="89" t="str">
        <f>IF(Table7[[#This Row],[Result]]="NC","n","")</f>
        <v/>
      </c>
      <c r="G29" s="42" t="str">
        <f>IF(Table7[[#This Row],[Result]]="PC","n","")</f>
        <v/>
      </c>
      <c r="H29" s="90" t="str">
        <f>IF(Table7[[#This Row],[Result]]="C","n","")</f>
        <v>n</v>
      </c>
      <c r="I29" s="86"/>
    </row>
    <row r="30" spans="1:9" ht="30" customHeight="1" x14ac:dyDescent="0.25">
      <c r="A30" s="211"/>
      <c r="C30" s="33" t="s">
        <v>405</v>
      </c>
      <c r="D30" s="12" t="s">
        <v>86</v>
      </c>
      <c r="E30" s="67" t="s">
        <v>5</v>
      </c>
      <c r="F30" s="89" t="str">
        <f>IF(Table7[[#This Row],[Result]]="NC","n","")</f>
        <v>n</v>
      </c>
      <c r="G30" s="42" t="str">
        <f>IF(Table7[[#This Row],[Result]]="PC","n","")</f>
        <v/>
      </c>
      <c r="H30" s="90" t="str">
        <f>IF(Table7[[#This Row],[Result]]="C","n","")</f>
        <v/>
      </c>
      <c r="I30" s="86"/>
    </row>
    <row r="31" spans="1:9" ht="30" customHeight="1" x14ac:dyDescent="0.25">
      <c r="A31" s="209" t="s">
        <v>25</v>
      </c>
      <c r="C31" s="37" t="s">
        <v>406</v>
      </c>
      <c r="D31" s="12" t="s">
        <v>191</v>
      </c>
      <c r="E31" s="67" t="s">
        <v>5</v>
      </c>
      <c r="F31" s="89" t="str">
        <f>IF(Table7[[#This Row],[Result]]="NC","n","")</f>
        <v>n</v>
      </c>
      <c r="G31" s="42" t="str">
        <f>IF(Table7[[#This Row],[Result]]="PC","n","")</f>
        <v/>
      </c>
      <c r="H31" s="90" t="str">
        <f>IF(Table7[[#This Row],[Result]]="C","n","")</f>
        <v/>
      </c>
      <c r="I31" s="86"/>
    </row>
    <row r="32" spans="1:9" ht="30" customHeight="1" x14ac:dyDescent="0.25">
      <c r="A32" s="211"/>
      <c r="C32" s="37" t="s">
        <v>407</v>
      </c>
      <c r="D32" s="12" t="s">
        <v>87</v>
      </c>
      <c r="E32" s="67" t="s">
        <v>7</v>
      </c>
      <c r="F32" s="89" t="str">
        <f>IF(Table7[[#This Row],[Result]]="NC","n","")</f>
        <v/>
      </c>
      <c r="G32" s="42" t="str">
        <f>IF(Table7[[#This Row],[Result]]="PC","n","")</f>
        <v/>
      </c>
      <c r="H32" s="90" t="str">
        <f>IF(Table7[[#This Row],[Result]]="C","n","")</f>
        <v>n</v>
      </c>
      <c r="I32" s="86"/>
    </row>
    <row r="33" spans="1:9" ht="30" customHeight="1" x14ac:dyDescent="0.25">
      <c r="A33" s="215" t="s">
        <v>26</v>
      </c>
      <c r="C33" s="37" t="s">
        <v>408</v>
      </c>
      <c r="D33" s="12" t="s">
        <v>88</v>
      </c>
      <c r="E33" s="67" t="s">
        <v>6</v>
      </c>
      <c r="F33" s="89" t="str">
        <f>IF(Table7[[#This Row],[Result]]="NC","n","")</f>
        <v/>
      </c>
      <c r="G33" s="42" t="str">
        <f>IF(Table7[[#This Row],[Result]]="PC","n","")</f>
        <v>n</v>
      </c>
      <c r="H33" s="90" t="str">
        <f>IF(Table7[[#This Row],[Result]]="C","n","")</f>
        <v/>
      </c>
      <c r="I33" s="86"/>
    </row>
    <row r="34" spans="1:9" ht="30" customHeight="1" x14ac:dyDescent="0.25">
      <c r="A34" s="215"/>
      <c r="C34" s="33" t="s">
        <v>409</v>
      </c>
      <c r="D34" s="14" t="s">
        <v>415</v>
      </c>
      <c r="E34" s="84" t="s">
        <v>7</v>
      </c>
      <c r="F34" s="89" t="str">
        <f>IF(Table7[[#This Row],[Result]]="NC","n","")</f>
        <v/>
      </c>
      <c r="G34" s="42" t="str">
        <f>IF(Table7[[#This Row],[Result]]="PC","n","")</f>
        <v/>
      </c>
      <c r="H34" s="90" t="str">
        <f>IF(Table7[[#This Row],[Result]]="C","n","")</f>
        <v>n</v>
      </c>
      <c r="I34" s="86"/>
    </row>
    <row r="35" spans="1:9" ht="30" customHeight="1" x14ac:dyDescent="0.25">
      <c r="A35" s="215" t="s">
        <v>36</v>
      </c>
      <c r="C35" s="33" t="s">
        <v>410</v>
      </c>
      <c r="D35" s="14" t="s">
        <v>37</v>
      </c>
      <c r="E35" s="84" t="s">
        <v>7</v>
      </c>
      <c r="F35" s="89" t="str">
        <f>IF(Table7[[#This Row],[Result]]="NC","n","")</f>
        <v/>
      </c>
      <c r="G35" s="42" t="str">
        <f>IF(Table7[[#This Row],[Result]]="PC","n","")</f>
        <v/>
      </c>
      <c r="H35" s="90" t="str">
        <f>IF(Table7[[#This Row],[Result]]="C","n","")</f>
        <v>n</v>
      </c>
      <c r="I35" s="86"/>
    </row>
    <row r="36" spans="1:9" ht="30" customHeight="1" x14ac:dyDescent="0.25">
      <c r="A36" s="215"/>
      <c r="C36" s="33" t="s">
        <v>411</v>
      </c>
      <c r="D36" s="14" t="s">
        <v>192</v>
      </c>
      <c r="E36" s="84" t="s">
        <v>5</v>
      </c>
      <c r="F36" s="89" t="str">
        <f>IF(Table7[[#This Row],[Result]]="NC","n","")</f>
        <v>n</v>
      </c>
      <c r="G36" s="42" t="str">
        <f>IF(Table7[[#This Row],[Result]]="PC","n","")</f>
        <v/>
      </c>
      <c r="H36" s="90" t="str">
        <f>IF(Table7[[#This Row],[Result]]="C","n","")</f>
        <v/>
      </c>
      <c r="I36" s="86"/>
    </row>
    <row r="37" spans="1:9" ht="30" customHeight="1" x14ac:dyDescent="0.25">
      <c r="A37" s="215"/>
      <c r="C37" s="34" t="s">
        <v>412</v>
      </c>
      <c r="D37" s="30" t="s">
        <v>38</v>
      </c>
      <c r="E37" s="143" t="s">
        <v>7</v>
      </c>
      <c r="F37" s="163" t="str">
        <f>IF(Table7[[#This Row],[Result]]="NC","n","")</f>
        <v/>
      </c>
      <c r="G37" s="43" t="str">
        <f>IF(Table7[[#This Row],[Result]]="PC","n","")</f>
        <v/>
      </c>
      <c r="H37" s="164" t="str">
        <f>IF(Table7[[#This Row],[Result]]="C","n","")</f>
        <v>n</v>
      </c>
      <c r="I37" s="31"/>
    </row>
    <row r="38" spans="1:9" ht="15.75" thickBot="1" x14ac:dyDescent="0.3">
      <c r="D38" s="217" t="s">
        <v>257</v>
      </c>
      <c r="E38" s="217"/>
      <c r="F38" s="102">
        <f>COUNTIF(Table7[NC],"N")</f>
        <v>9</v>
      </c>
      <c r="G38" s="103">
        <f>COUNTIF(Table7[PC],"N")</f>
        <v>7</v>
      </c>
      <c r="H38" s="104">
        <f>COUNTIF(Table7[C],"N")</f>
        <v>16</v>
      </c>
    </row>
    <row r="39" spans="1:9" ht="16.5" thickTop="1" thickBot="1" x14ac:dyDescent="0.3">
      <c r="D39" s="217" t="s">
        <v>258</v>
      </c>
      <c r="E39" s="217"/>
      <c r="F39" s="105">
        <f>F38*0</f>
        <v>0</v>
      </c>
      <c r="G39" s="106">
        <f>G38*1</f>
        <v>7</v>
      </c>
      <c r="H39" s="107">
        <f>H38*3</f>
        <v>48</v>
      </c>
    </row>
    <row r="40" spans="1:9" x14ac:dyDescent="0.25">
      <c r="D40" s="217" t="s">
        <v>1</v>
      </c>
      <c r="E40" s="217"/>
      <c r="F40" s="39">
        <f>SUM(F39:H39)</f>
        <v>55</v>
      </c>
      <c r="G40" s="108" t="s">
        <v>417</v>
      </c>
      <c r="H40" s="101"/>
    </row>
  </sheetData>
  <sheetProtection algorithmName="SHA-512" hashValue="UA54Ksvuqoa2nMc45KYognf3Sudq/YH7fgDrAY618ogLci5LG6bxhiNzNwzrnqzlKSnfC2P5GOisBpXkU7F3Gw==" saltValue="tDsH+1SHyeL74wLEDCYTGA==" spinCount="100000" sheet="1" objects="1" scenarios="1" selectLockedCells="1"/>
  <mergeCells count="12">
    <mergeCell ref="D2:H3"/>
    <mergeCell ref="D38:E38"/>
    <mergeCell ref="D39:E39"/>
    <mergeCell ref="D40:E40"/>
    <mergeCell ref="A35:A37"/>
    <mergeCell ref="A22:A30"/>
    <mergeCell ref="A19:A21"/>
    <mergeCell ref="A14:A18"/>
    <mergeCell ref="A6:A9"/>
    <mergeCell ref="A10:A13"/>
    <mergeCell ref="A33:A34"/>
    <mergeCell ref="A31:A32"/>
  </mergeCells>
  <dataValidations count="1">
    <dataValidation type="list" allowBlank="1" showInputMessage="1" showErrorMessage="1" prompt="Please enter either NC for a Non Conformance, PC for a Partial Conformance or C for a Conformance" sqref="E6:E37">
      <formula1>Result</formula1>
    </dataValidation>
  </dataValidations>
  <pageMargins left="0.7" right="0.7" top="0.75" bottom="0.75" header="0.3" footer="0.3"/>
  <pageSetup paperSize="9" orientation="portrait" horizontalDpi="0" verticalDpi="0" r:id="rId1"/>
  <drawing r:id="rId2"/>
  <legacyDrawing r:id="rId3"/>
  <tableParts count="1">
    <tablePart r:id="rId4"/>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17"/>
  <sheetViews>
    <sheetView showGridLines="0" zoomScaleNormal="100" workbookViewId="0">
      <selection activeCell="E12" sqref="E12"/>
    </sheetView>
  </sheetViews>
  <sheetFormatPr defaultRowHeight="15" x14ac:dyDescent="0.25"/>
  <cols>
    <col min="1" max="1" width="7.7109375" customWidth="1"/>
    <col min="2" max="2" width="1.7109375" customWidth="1"/>
    <col min="3" max="3" width="6.7109375" customWidth="1"/>
    <col min="4" max="4" width="100.7109375" customWidth="1"/>
    <col min="5" max="8" width="7.7109375" customWidth="1"/>
    <col min="9" max="9" width="100.7109375" customWidth="1"/>
  </cols>
  <sheetData>
    <row r="2" spans="1:9" x14ac:dyDescent="0.25">
      <c r="D2" s="206" t="s">
        <v>419</v>
      </c>
      <c r="E2" s="206"/>
      <c r="F2" s="206"/>
      <c r="G2" s="206"/>
      <c r="H2" s="206"/>
    </row>
    <row r="3" spans="1:9" x14ac:dyDescent="0.25">
      <c r="D3" s="206"/>
      <c r="E3" s="206"/>
      <c r="F3" s="206"/>
      <c r="G3" s="206"/>
      <c r="H3" s="206"/>
    </row>
    <row r="5" spans="1:9" ht="30" customHeight="1" x14ac:dyDescent="0.25">
      <c r="C5" s="15" t="s">
        <v>0</v>
      </c>
      <c r="D5" s="35" t="s">
        <v>4</v>
      </c>
      <c r="E5" s="16" t="s">
        <v>332</v>
      </c>
      <c r="F5" s="87" t="s">
        <v>5</v>
      </c>
      <c r="G5" s="9" t="s">
        <v>6</v>
      </c>
      <c r="H5" s="88" t="s">
        <v>7</v>
      </c>
      <c r="I5" s="95" t="s">
        <v>56</v>
      </c>
    </row>
    <row r="6" spans="1:9" ht="30" customHeight="1" x14ac:dyDescent="0.25">
      <c r="A6" s="215" t="s">
        <v>418</v>
      </c>
      <c r="C6" s="37" t="s">
        <v>420</v>
      </c>
      <c r="D6" s="7" t="s">
        <v>213</v>
      </c>
      <c r="E6" s="67" t="s">
        <v>5</v>
      </c>
      <c r="F6" s="76" t="str">
        <f>IF(Table3[[#This Row],[Result]]="NC","n","")</f>
        <v>n</v>
      </c>
      <c r="G6" s="41" t="str">
        <f>IF(Table3[[#This Row],[Result]]="pC","n","")</f>
        <v/>
      </c>
      <c r="H6" s="77" t="str">
        <f>IF(Table3[[#This Row],[Result]]="C","n","")</f>
        <v/>
      </c>
      <c r="I6" s="86"/>
    </row>
    <row r="7" spans="1:9" ht="30" customHeight="1" x14ac:dyDescent="0.25">
      <c r="A7" s="215"/>
      <c r="C7" s="37" t="s">
        <v>421</v>
      </c>
      <c r="D7" s="7" t="s">
        <v>212</v>
      </c>
      <c r="E7" s="67" t="s">
        <v>6</v>
      </c>
      <c r="F7" s="76" t="str">
        <f>IF(Table3[[#This Row],[Result]]="NC","n","")</f>
        <v/>
      </c>
      <c r="G7" s="41" t="str">
        <f>IF(Table3[[#This Row],[Result]]="pC","n","")</f>
        <v>n</v>
      </c>
      <c r="H7" s="77" t="str">
        <f>IF(Table3[[#This Row],[Result]]="C","n","")</f>
        <v/>
      </c>
      <c r="I7" s="86"/>
    </row>
    <row r="8" spans="1:9" ht="30" customHeight="1" x14ac:dyDescent="0.25">
      <c r="A8" s="215"/>
      <c r="C8" s="37" t="s">
        <v>422</v>
      </c>
      <c r="D8" s="7" t="s">
        <v>214</v>
      </c>
      <c r="E8" s="67" t="s">
        <v>5</v>
      </c>
      <c r="F8" s="76" t="str">
        <f>IF(Table3[[#This Row],[Result]]="NC","n","")</f>
        <v>n</v>
      </c>
      <c r="G8" s="41" t="str">
        <f>IF(Table3[[#This Row],[Result]]="pC","n","")</f>
        <v/>
      </c>
      <c r="H8" s="77" t="str">
        <f>IF(Table3[[#This Row],[Result]]="C","n","")</f>
        <v/>
      </c>
      <c r="I8" s="86"/>
    </row>
    <row r="9" spans="1:9" ht="30" customHeight="1" x14ac:dyDescent="0.25">
      <c r="A9" s="215"/>
      <c r="C9" s="37" t="s">
        <v>423</v>
      </c>
      <c r="D9" s="7" t="s">
        <v>119</v>
      </c>
      <c r="E9" s="67" t="s">
        <v>7</v>
      </c>
      <c r="F9" s="76" t="str">
        <f>IF(Table3[[#This Row],[Result]]="NC","n","")</f>
        <v/>
      </c>
      <c r="G9" s="41" t="str">
        <f>IF(Table3[[#This Row],[Result]]="pC","n","")</f>
        <v/>
      </c>
      <c r="H9" s="77" t="str">
        <f>IF(Table3[[#This Row],[Result]]="C","n","")</f>
        <v>n</v>
      </c>
      <c r="I9" s="86"/>
    </row>
    <row r="10" spans="1:9" ht="30" customHeight="1" x14ac:dyDescent="0.25">
      <c r="A10" s="215"/>
      <c r="C10" s="37" t="s">
        <v>424</v>
      </c>
      <c r="D10" s="7" t="s">
        <v>215</v>
      </c>
      <c r="E10" s="67" t="s">
        <v>5</v>
      </c>
      <c r="F10" s="76" t="str">
        <f>IF(Table3[[#This Row],[Result]]="NC","n","")</f>
        <v>n</v>
      </c>
      <c r="G10" s="41" t="str">
        <f>IF(Table3[[#This Row],[Result]]="pC","n","")</f>
        <v/>
      </c>
      <c r="H10" s="77" t="str">
        <f>IF(Table3[[#This Row],[Result]]="C","n","")</f>
        <v/>
      </c>
      <c r="I10" s="86"/>
    </row>
    <row r="11" spans="1:9" ht="30" customHeight="1" x14ac:dyDescent="0.25">
      <c r="A11" s="215"/>
      <c r="C11" s="37" t="s">
        <v>425</v>
      </c>
      <c r="D11" s="7" t="s">
        <v>216</v>
      </c>
      <c r="E11" s="67" t="s">
        <v>7</v>
      </c>
      <c r="F11" s="76" t="str">
        <f>IF(Table3[[#This Row],[Result]]="NC","n","")</f>
        <v/>
      </c>
      <c r="G11" s="41" t="str">
        <f>IF(Table3[[#This Row],[Result]]="pC","n","")</f>
        <v/>
      </c>
      <c r="H11" s="77" t="str">
        <f>IF(Table3[[#This Row],[Result]]="C","n","")</f>
        <v>n</v>
      </c>
      <c r="I11" s="86"/>
    </row>
    <row r="12" spans="1:9" ht="30" customHeight="1" x14ac:dyDescent="0.25">
      <c r="A12" s="215"/>
      <c r="C12" s="37" t="s">
        <v>426</v>
      </c>
      <c r="D12" s="7" t="s">
        <v>120</v>
      </c>
      <c r="E12" s="67" t="s">
        <v>7</v>
      </c>
      <c r="F12" s="76" t="str">
        <f>IF(Table3[[#This Row],[Result]]="NC","n","")</f>
        <v/>
      </c>
      <c r="G12" s="41" t="str">
        <f>IF(Table3[[#This Row],[Result]]="pC","n","")</f>
        <v/>
      </c>
      <c r="H12" s="77" t="str">
        <f>IF(Table3[[#This Row],[Result]]="C","n","")</f>
        <v>n</v>
      </c>
      <c r="I12" s="86"/>
    </row>
    <row r="13" spans="1:9" ht="30" customHeight="1" x14ac:dyDescent="0.25">
      <c r="A13" s="215"/>
      <c r="C13" s="37" t="s">
        <v>427</v>
      </c>
      <c r="D13" s="7" t="s">
        <v>121</v>
      </c>
      <c r="E13" s="67" t="s">
        <v>7</v>
      </c>
      <c r="F13" s="89" t="str">
        <f>IF(Table3[[#This Row],[Result]]="NC","n","")</f>
        <v/>
      </c>
      <c r="G13" s="42" t="str">
        <f>IF(Table3[[#This Row],[Result]]="pC","n","")</f>
        <v/>
      </c>
      <c r="H13" s="90" t="str">
        <f>IF(Table3[[#This Row],[Result]]="C","n","")</f>
        <v>n</v>
      </c>
      <c r="I13" s="86"/>
    </row>
    <row r="14" spans="1:9" ht="30" customHeight="1" x14ac:dyDescent="0.25">
      <c r="A14" s="215"/>
      <c r="C14" s="37" t="s">
        <v>428</v>
      </c>
      <c r="D14" s="17" t="s">
        <v>217</v>
      </c>
      <c r="E14" s="144" t="s">
        <v>7</v>
      </c>
      <c r="F14" s="163" t="str">
        <f>IF(Table3[[#This Row],[Result]]="NC","n","")</f>
        <v/>
      </c>
      <c r="G14" s="43" t="str">
        <f>IF(Table3[[#This Row],[Result]]="pC","n","")</f>
        <v/>
      </c>
      <c r="H14" s="164" t="str">
        <f>IF(Table3[[#This Row],[Result]]="C","n","")</f>
        <v>n</v>
      </c>
      <c r="I14" s="31"/>
    </row>
    <row r="15" spans="1:9" ht="15.75" thickBot="1" x14ac:dyDescent="0.3">
      <c r="D15" s="207" t="s">
        <v>257</v>
      </c>
      <c r="E15" s="207"/>
      <c r="F15" s="102">
        <f>COUNTIF(Table3[NC],"n")</f>
        <v>3</v>
      </c>
      <c r="G15" s="103">
        <f>COUNTIF(Table3[PC],"n")</f>
        <v>1</v>
      </c>
      <c r="H15" s="104">
        <f>COUNTIF(Table3[C],"n")</f>
        <v>5</v>
      </c>
    </row>
    <row r="16" spans="1:9" ht="16.5" thickTop="1" thickBot="1" x14ac:dyDescent="0.3">
      <c r="D16" s="207" t="s">
        <v>258</v>
      </c>
      <c r="E16" s="207"/>
      <c r="F16" s="105">
        <f>F15*0</f>
        <v>0</v>
      </c>
      <c r="G16" s="106">
        <f>G15*1</f>
        <v>1</v>
      </c>
      <c r="H16" s="107">
        <f>H15*3</f>
        <v>15</v>
      </c>
    </row>
    <row r="17" spans="4:8" x14ac:dyDescent="0.25">
      <c r="D17" s="207" t="s">
        <v>1</v>
      </c>
      <c r="E17" s="207"/>
      <c r="F17" s="101">
        <f>SUM(F16:H16)</f>
        <v>16</v>
      </c>
      <c r="G17" s="108" t="s">
        <v>429</v>
      </c>
      <c r="H17" s="101"/>
    </row>
  </sheetData>
  <sheetProtection algorithmName="SHA-512" hashValue="vg80CM3gJpsyZM5bl7XIQq6MHiF5/0I1giLvPspDoloEtjswN7QrNAyz+/rJ43pAqjXeno9DDwDz8r6XQkg/rA==" saltValue="d92nP6oluvgD3kybmzrymA==" spinCount="100000" sheet="1" objects="1" scenarios="1" selectLockedCells="1"/>
  <mergeCells count="5">
    <mergeCell ref="A6:A14"/>
    <mergeCell ref="D2:H3"/>
    <mergeCell ref="D15:E15"/>
    <mergeCell ref="D16:E16"/>
    <mergeCell ref="D17:E17"/>
  </mergeCells>
  <dataValidations count="1">
    <dataValidation type="list" allowBlank="1" showInputMessage="1" showErrorMessage="1" prompt="Please enter either NC for a Non Conformance, PC for a Partial Conformance or C for a Conformance" sqref="E6:E14">
      <formula1>Result</formula1>
    </dataValidation>
  </dataValidations>
  <pageMargins left="0.7" right="0.7" top="0.75" bottom="0.75" header="0.3" footer="0.3"/>
  <drawing r:id="rId1"/>
  <legacy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vt:i4>
      </vt:variant>
    </vt:vector>
  </HeadingPairs>
  <TitlesOfParts>
    <vt:vector size="16" baseType="lpstr">
      <vt:lpstr>Overview</vt:lpstr>
      <vt:lpstr>Summary</vt:lpstr>
      <vt:lpstr>1. Safety</vt:lpstr>
      <vt:lpstr>2. Maintenance Strategy</vt:lpstr>
      <vt:lpstr>3. PM Strategy</vt:lpstr>
      <vt:lpstr>4. Shutdown Strategy</vt:lpstr>
      <vt:lpstr>5. Breakdown Strategy</vt:lpstr>
      <vt:lpstr>6. Sustainability</vt:lpstr>
      <vt:lpstr>7. WO Strategy</vt:lpstr>
      <vt:lpstr>8. Inventory Strategy</vt:lpstr>
      <vt:lpstr>9. Tyre Strategy</vt:lpstr>
      <vt:lpstr>10. Workshop Condition</vt:lpstr>
      <vt:lpstr>11. Plant Condition Dig Unit</vt:lpstr>
      <vt:lpstr>12. Plant Condition Haul Unit</vt:lpstr>
      <vt:lpstr>'3. PM Strategy'!Print_Area</vt:lpstr>
      <vt:lpstr>Result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Matthew Taylor</dc:creator>
  <cp:lastModifiedBy>Matt Taylor</cp:lastModifiedBy>
  <dcterms:created xsi:type="dcterms:W3CDTF">2015-05-12T05:13:05Z</dcterms:created>
  <dcterms:modified xsi:type="dcterms:W3CDTF">2016-03-10T06:56:23Z</dcterms:modified>
</cp:coreProperties>
</file>